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iT9Zr6/Veyku+ONR3u3KwQc2E8m0MZUrrNT8ad5SQlwuh3zAu7eHfAoCRASwXRmmhJRpj/OKDJJ/IxPowEKaJA==" workbookSaltValue="jmHVfbPWK/MTiV7zEdlZc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BG15" i="13"/>
  <c r="BE15" i="13"/>
  <c r="AX20" i="20"/>
  <c r="S19" i="8" l="1"/>
  <c r="AC19" i="8"/>
  <c r="AL16" i="11"/>
  <c r="C16" i="6"/>
  <c r="BE16" i="13"/>
  <c r="BF9" i="8"/>
  <c r="AB13" i="21"/>
  <c r="R8" i="9"/>
  <c r="T17" i="11" s="1"/>
  <c r="X10" i="17"/>
  <c r="X17" i="20"/>
  <c r="L11" i="2"/>
  <c r="S17" i="14"/>
  <c r="V17" i="14" s="1"/>
  <c r="S9" i="14"/>
  <c r="V9" i="14" s="1"/>
  <c r="AA10" i="16"/>
  <c r="AA9" i="16"/>
  <c r="AQ13" i="21"/>
  <c r="J18" i="17"/>
  <c r="E13" i="17"/>
  <c r="BE12" i="13"/>
  <c r="H13" i="12"/>
  <c r="BF16" i="8"/>
  <c r="BF12" i="8"/>
  <c r="J12" i="7" s="1"/>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O17" i="17"/>
  <c r="AM12" i="11"/>
  <c r="AP13" i="21"/>
  <c r="V10" i="21"/>
  <c r="V15" i="16"/>
  <c r="AA15" i="16"/>
  <c r="T15" i="11"/>
  <c r="R12" i="14"/>
  <c r="R13" i="14" s="1"/>
  <c r="V15" i="20"/>
  <c r="V18" i="20" s="1"/>
  <c r="AA12" i="21"/>
  <c r="X13" i="20"/>
  <c r="I11" i="12"/>
  <c r="X12" i="21"/>
  <c r="T9" i="11"/>
  <c r="BF11" i="11"/>
  <c r="BH11" i="16"/>
  <c r="BL9" i="11"/>
  <c r="BH17" i="16"/>
  <c r="BG10" i="11"/>
  <c r="BM16" i="11"/>
  <c r="P17" i="17"/>
  <c r="BL17" i="11"/>
  <c r="P17" i="11" s="1"/>
  <c r="BK12" i="11"/>
  <c r="BF10" i="11"/>
  <c r="Q10" i="11" s="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X19" i="21" s="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G19" i="7" l="1"/>
  <c r="AO13" i="17"/>
  <c r="BW21" i="20"/>
  <c r="BI18"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M20" i="11"/>
  <c r="J20" i="12"/>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AB20" i="16"/>
  <c r="BJ20" i="16"/>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<sst xmlns="http://schemas.openxmlformats.org/spreadsheetml/2006/main" count="2102" uniqueCount="917">
  <si>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</si>
  <si>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</si>
  <si>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</si>
  <si>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</si>
  <si>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</si>
  <si>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</si>
  <si>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</si>
  <si>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</si>
  <si>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</si>
  <si>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</si>
  <si>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</si>
  <si>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</si>
  <si>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</si>
  <si>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</si>
  <si>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</si>
  <si>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</si>
  <si>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</si>
  <si>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</si>
  <si>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</si>
  <si>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</si>
  <si>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</si>
  <si>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</si>
  <si>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</si>
  <si>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</si>
  <si>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</si>
  <si>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</si>
  <si>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</si>
  <si>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</si>
  <si>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</si>
  <si>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</si>
  <si>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</si>
  <si>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</si>
  <si>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</si>
  <si>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</si>
  <si>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</si>
  <si>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</si>
  <si>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</si>
  <si>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</si>
  <si>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</si>
  <si>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</si>
  <si>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</si>
  <si>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</si>
  <si>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</si>
  <si>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</si>
  <si>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</si>
  <si>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</si>
  <si>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</si>
  <si>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</si>
  <si>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</si>
  <si>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</si>
  <si>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</si>
  <si>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</si>
  <si>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</si>
  <si>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</si>
  <si>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</si>
  <si>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</si>
  <si>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</si>
  <si>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</si>
  <si>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</si>
  <si>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</si>
  <si>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</si>
  <si>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</si>
  <si>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</si>
  <si>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</si>
  <si>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</si>
  <si>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</si>
  <si>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</si>
  <si>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</si>
  <si>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</si>
  <si>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</si>
  <si>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</si>
  <si>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</si>
  <si>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</si>
  <si>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</si>
  <si>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</si>
  <si>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</si>
  <si>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</si>
  <si>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</si>
  <si>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</si>
  <si>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</si>
  <si>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</si>
  <si>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</si>
  <si>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</si>
  <si>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</si>
  <si>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</si>
  <si>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</si>
  <si>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</si>
  <si>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</si>
  <si>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</si>
  <si>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</si>
  <si>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</si>
  <si>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</si>
  <si>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</si>
  <si>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</si>
  <si>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</si>
  <si>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</si>
  <si>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</si>
  <si>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</si>
  <si>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</si>
  <si>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</si>
  <si>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</si>
  <si>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</si>
  <si>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</si>
  <si>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</si>
  <si>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</si>
  <si>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</si>
  <si>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</si>
  <si>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</si>
  <si>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</si>
  <si>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</si>
  <si>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</si>
  <si>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</si>
  <si>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</si>
  <si>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</si>
  <si>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</si>
  <si>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</si>
  <si>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</si>
  <si>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</si>
  <si>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</si>
  <si>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</si>
  <si>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</si>
  <si>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</si>
  <si>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</si>
  <si>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</si>
  <si>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</si>
  <si>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</si>
  <si>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</si>
  <si>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</si>
  <si>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</si>
  <si>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</si>
  <si>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</si>
  <si>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</si>
  <si>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</si>
  <si>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</si>
  <si>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</si>
  <si>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</si>
  <si>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</si>
  <si>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</si>
  <si>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</si>
  <si>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</si>
  <si>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</si>
  <si>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</si>
  <si>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</si>
  <si>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</si>
  <si>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</si>
  <si>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</si>
  <si>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</si>
  <si>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</si>
  <si>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</si>
  <si>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</si>
  <si>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</si>
  <si>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</si>
  <si>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</si>
  <si>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</si>
  <si>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</si>
  <si>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</si>
  <si>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</si>
  <si>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</si>
  <si>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</si>
  <si>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</si>
  <si>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</si>
  <si>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</si>
  <si>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</si>
  <si>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</si>
  <si>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</si>
  <si>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</si>
  <si>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</si>
  <si>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</si>
  <si>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</si>
  <si>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</si>
  <si>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</si>
  <si>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</si>
  <si>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</si>
  <si>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</si>
  <si>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</si>
  <si>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</si>
  <si>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</si>
  <si>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</si>
  <si>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</si>
  <si>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</si>
  <si>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</si>
  <si>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</si>
  <si>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</si>
  <si>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</si>
  <si>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</si>
  <si>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</si>
  <si>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</si>
  <si>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</si>
  <si>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</si>
  <si>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</si>
  <si>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</si>
  <si>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</si>
  <si>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</si>
  <si>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</si>
  <si>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</si>
  <si>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</si>
  <si>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</si>
  <si>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</si>
  <si>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</si>
  <si>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</si>
  <si>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</si>
  <si>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</si>
  <si>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</si>
  <si>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</si>
  <si>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</si>
  <si>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</si>
  <si>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</si>
  <si>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</si>
  <si>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</si>
  <si>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</si>
  <si>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</si>
  <si>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</si>
  <si>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</si>
  <si>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</si>
  <si>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</si>
  <si>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</si>
  <si>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</si>
  <si>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</si>
  <si>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</si>
  <si>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</si>
  <si>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</si>
  <si>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</si>
  <si>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</si>
  <si>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</si>
  <si>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</si>
  <si>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</si>
  <si>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</si>
  <si>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</si>
  <si>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</si>
  <si>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</si>
  <si>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</si>
  <si>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</si>
  <si>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</si>
  <si>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</si>
  <si>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</si>
  <si>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</si>
  <si>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</si>
  <si>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</si>
  <si>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</si>
  <si>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</si>
  <si>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</si>
  <si>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</si>
  <si>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</si>
  <si>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</si>
  <si>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</si>
  <si>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</si>
  <si>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</si>
  <si>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</si>
  <si>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</si>
  <si>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</si>
  <si>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</si>
  <si>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</si>
  <si>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</si>
  <si>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</si>
  <si>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</si>
  <si>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</si>
  <si>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</si>
  <si>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</si>
  <si>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</si>
  <si>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</si>
  <si>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</si>
  <si>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</si>
  <si>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</si>
  <si>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</si>
  <si>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</si>
  <si>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</si>
  <si>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</si>
  <si>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</si>
  <si>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</si>
  <si>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</si>
  <si>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</si>
  <si>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</si>
  <si>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</si>
  <si>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</si>
  <si>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</si>
  <si>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</si>
  <si>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</si>
  <si>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</si>
  <si>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</si>
  <si>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</si>
  <si>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</si>
  <si>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</si>
  <si>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</si>
  <si>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</si>
  <si>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</si>
  <si>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</si>
  <si>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</si>
  <si>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</si>
  <si>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</si>
  <si>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</si>
  <si>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</si>
  <si>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</si>
  <si>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</si>
  <si>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</si>
  <si>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</si>
  <si>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</si>
  <si>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</si>
  <si>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</si>
  <si>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</si>
  <si>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</si>
  <si>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</si>
  <si>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</si>
  <si>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</si>
  <si>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</si>
  <si>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</si>
  <si>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</si>
  <si>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</si>
  <si>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</si>
  <si>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</si>
  <si>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</si>
  <si>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</si>
  <si>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</si>
  <si>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</si>
  <si>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</si>
  <si>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</si>
  <si>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</si>
  <si>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</si>
  <si>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</si>
  <si>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</si>
  <si>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</si>
  <si>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</si>
  <si>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</si>
  <si>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</si>
  <si>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</si>
  <si>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</si>
  <si>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</si>
  <si>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</si>
  <si>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</si>
  <si>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</si>
  <si>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</si>
  <si>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</si>
  <si>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</si>
  <si>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</si>
  <si>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</si>
  <si>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</si>
  <si>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</si>
  <si>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</si>
  <si>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</si>
  <si>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</si>
  <si>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</si>
  <si>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</si>
  <si>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</si>
  <si>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</si>
  <si>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</si>
  <si>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</si>
  <si>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</si>
  <si>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</si>
  <si>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</si>
  <si>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</si>
  <si>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</si>
  <si>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</si>
  <si>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</si>
  <si>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</si>
  <si>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</si>
  <si>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</si>
  <si>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</si>
  <si>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</si>
  <si>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</si>
  <si>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</si>
  <si>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</si>
  <si>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</si>
  <si>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</si>
  <si>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</si>
  <si>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</si>
  <si>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</si>
  <si>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</si>
  <si>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</si>
  <si>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</si>
  <si>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</si>
  <si>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</si>
  <si>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</si>
  <si>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</si>
  <si>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</si>
  <si>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</si>
  <si>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</si>
  <si>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</si>
  <si>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</si>
  <si>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</si>
  <si>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</si>
  <si>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</si>
  <si>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</si>
  <si>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</si>
  <si>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</si>
  <si>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</si>
  <si>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</si>
  <si>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</si>
  <si>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</si>
  <si>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</si>
  <si>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</si>
  <si>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</si>
  <si>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</si>
  <si>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</si>
  <si>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</si>
  <si>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</si>
  <si>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</si>
  <si>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</si>
  <si>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</si>
  <si>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</si>
  <si>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</si>
  <si>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</si>
  <si>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</si>
  <si>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</si>
  <si>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</si>
  <si>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</si>
  <si>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</si>
  <si>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</si>
  <si>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</si>
  <si>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</si>
  <si>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</si>
  <si>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</si>
  <si>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</si>
  <si>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</si>
  <si>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</si>
  <si>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</si>
  <si>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</si>
  <si>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</si>
  <si>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</si>
  <si>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</si>
  <si>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</si>
  <si>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</si>
  <si>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</si>
  <si>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</si>
  <si>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</si>
  <si>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</si>
  <si>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</si>
  <si>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</si>
  <si>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</si>
  <si>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</si>
  <si>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</si>
  <si>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</si>
  <si>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</si>
  <si>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</si>
  <si>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</si>
  <si>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</si>
  <si>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</si>
  <si>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</si>
  <si>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</si>
  <si>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</si>
  <si>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</si>
  <si>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</si>
  <si>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</si>
  <si>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</si>
  <si>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</si>
  <si>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</si>
  <si>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</si>
  <si>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</si>
  <si>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</si>
  <si>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</si>
  <si>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</si>
  <si>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</si>
  <si>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</si>
  <si>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</si>
  <si>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</si>
  <si>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</si>
  <si>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</si>
  <si>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</si>
  <si>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</si>
  <si>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</si>
  <si>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</si>
  <si>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</si>
  <si>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</si>
  <si>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</si>
  <si>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</si>
  <si>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</si>
  <si>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</si>
  <si>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</si>
  <si>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</si>
  <si>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</si>
  <si>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</si>
  <si>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</si>
  <si>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</si>
  <si>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</si>
  <si>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</si>
  <si>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</si>
  <si>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</si>
  <si>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</si>
  <si>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</si>
  <si>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</si>
  <si>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</si>
  <si>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</si>
  <si>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</si>
  <si>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</si>
  <si>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</si>
  <si>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</si>
  <si>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</si>
  <si>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</si>
  <si>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</si>
  <si>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</si>
  <si>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</si>
  <si>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</si>
  <si>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</si>
  <si>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</si>
  <si>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</si>
  <si>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</si>
  <si>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</si>
  <si>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</si>
  <si>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</si>
  <si>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</si>
  <si>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</si>
  <si>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</si>
  <si>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</si>
  <si>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</si>
  <si>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</si>
  <si>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</si>
  <si>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</si>
  <si>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</si>
  <si>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</si>
  <si>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</si>
  <si>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</si>
  <si>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</si>
  <si>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</si>
  <si>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</si>
  <si>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</si>
  <si>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</si>
  <si>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</si>
  <si>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</si>
  <si>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</si>
  <si>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</si>
  <si>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</si>
  <si>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</si>
  <si>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</si>
  <si>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</si>
  <si>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</si>
  <si>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</si>
  <si>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</si>
  <si>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</si>
  <si>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</si>
  <si>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</si>
  <si>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</si>
  <si>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</si>
  <si>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</si>
  <si>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</si>
  <si>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</si>
  <si>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</si>
  <si>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</si>
  <si>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</si>
  <si>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</si>
  <si>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</si>
  <si>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</si>
  <si>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</si>
  <si>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</si>
  <si>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</si>
  <si>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</si>
  <si>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</si>
  <si>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</si>
  <si>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</si>
  <si>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</si>
  <si>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</si>
  <si>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</si>
  <si>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</si>
  <si>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</si>
  <si>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</si>
  <si>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</si>
  <si>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</si>
  <si>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</si>
  <si>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</si>
  <si>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</si>
  <si>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</si>
  <si>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</si>
  <si>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</si>
  <si>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</si>
  <si>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</si>
  <si>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</si>
  <si>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</si>
  <si>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</si>
  <si>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</si>
  <si>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</si>
  <si>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</si>
  <si>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</si>
  <si>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</si>
  <si>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</si>
  <si>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</si>
  <si>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</si>
  <si>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</si>
  <si>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</si>
  <si>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</si>
  <si>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</si>
  <si>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</si>
  <si>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</si>
  <si>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</si>
  <si>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</si>
  <si>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</si>
  <si>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</si>
  <si>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</si>
  <si>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</si>
  <si>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</si>
  <si>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</si>
  <si>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</si>
  <si>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</si>
  <si>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</si>
  <si>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</si>
  <si>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</si>
  <si>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</si>
  <si>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</si>
  <si>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</si>
  <si>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</si>
  <si>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</si>
  <si>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</si>
  <si>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</si>
  <si>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</si>
  <si>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</si>
  <si>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</si>
  <si>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</si>
  <si>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</si>
  <si>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</si>
  <si>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</si>
  <si>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</si>
  <si>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</si>
  <si>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</si>
  <si>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</si>
  <si>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</si>
  <si>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</si>
  <si>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</si>
  <si>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</si>
  <si>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</si>
  <si>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</si>
  <si>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</si>
  <si>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</si>
  <si>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</si>
  <si>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</si>
  <si>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</si>
  <si>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</si>
  <si>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</si>
  <si>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</si>
  <si>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</si>
  <si>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</si>
  <si>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</si>
  <si>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</si>
  <si>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</si>
  <si>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</si>
  <si>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</si>
  <si>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</si>
  <si>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</si>
  <si>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</si>
  <si>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</si>
  <si>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</si>
  <si>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</si>
  <si>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</si>
  <si>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</si>
  <si>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</si>
  <si>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</si>
  <si>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</si>
  <si>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</si>
  <si>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</si>
  <si>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</si>
  <si>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</si>
  <si>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</si>
  <si>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</si>
  <si>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</si>
  <si>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</si>
  <si>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</si>
  <si>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</si>
  <si>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</si>
  <si>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</si>
  <si>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</si>
  <si>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</si>
  <si>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</si>
  <si>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</si>
  <si>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</si>
  <si>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</si>
  <si>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</si>
  <si>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</si>
  <si>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</si>
  <si>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</si>
  <si>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</si>
  <si>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</si>
  <si>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</si>
  <si>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</si>
  <si>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</si>
  <si>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</si>
  <si>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</si>
  <si>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</si>
  <si>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</si>
  <si>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</si>
  <si>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</si>
  <si>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</si>
  <si>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</si>
  <si>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</si>
  <si>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</si>
  <si>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</si>
  <si>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</si>
  <si>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</si>
  <si>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</si>
  <si>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</si>
  <si>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</si>
  <si>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</si>
  <si>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</si>
  <si>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</si>
  <si>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</si>
  <si>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</si>
  <si>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</si>
  <si>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</si>
  <si>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</si>
  <si>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</si>
  <si>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</si>
  <si>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</si>
  <si>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</si>
  <si>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</si>
  <si>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</si>
  <si>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</si>
  <si>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</si>
  <si>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</si>
  <si>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</si>
  <si>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</si>
  <si>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</si>
  <si>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</si>
  <si>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</si>
  <si>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</si>
  <si>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</si>
  <si>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</si>
  <si>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</si>
  <si>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</si>
  <si>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</si>
  <si>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</si>
  <si>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</si>
  <si>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</si>
  <si>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</si>
  <si>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</si>
  <si>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</si>
  <si>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</si>
  <si>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</si>
  <si>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</si>
  <si>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</si>
  <si>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</si>
  <si>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</si>
  <si>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</si>
  <si>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</si>
  <si>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</si>
  <si>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</si>
  <si>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</si>
  <si>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</si>
  <si>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</si>
  <si>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</si>
  <si>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</si>
  <si>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</si>
  <si>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</si>
  <si>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</si>
  <si>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</si>
  <si>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</si>
  <si>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</si>
  <si>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</si>
  <si>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</si>
  <si>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</si>
  <si>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</si>
  <si>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</si>
  <si>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</si>
  <si>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</si>
  <si>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</si>
  <si>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</si>
  <si>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</si>
  <si>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</si>
  <si>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</si>
  <si>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</si>
  <si>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</si>
  <si>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</si>
  <si>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</si>
  <si>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</si>
  <si>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</si>
  <si>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</si>
  <si>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</si>
  <si>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</si>
  <si>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</si>
  <si>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</si>
  <si>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</si>
  <si>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</si>
  <si>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</si>
  <si>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</si>
  <si>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</si>
  <si>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</si>
  <si>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</si>
  <si>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</si>
  <si>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</si>
  <si>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</si>
  <si>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</si>
  <si>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</si>
  <si>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</si>
  <si>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</si>
  <si>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</si>
  <si>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</si>
  <si>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</si>
  <si>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</si>
  <si>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</si>
  <si>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</si>
  <si>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</si>
  <si>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</si>
  <si>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</si>
  <si>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</si>
  <si>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</si>
  <si>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</si>
  <si>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</si>
  <si>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</si>
  <si>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</si>
  <si>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</si>
  <si>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</si>
  <si>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</si>
  <si>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</si>
  <si>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</si>
  <si>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</si>
  <si>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</si>
  <si>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</si>
  <si>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</si>
  <si>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</si>
  <si>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</si>
  <si>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</si>
  <si>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</si>
  <si>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</si>
  <si>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</si>
  <si>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</si>
  <si>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</si>
  <si>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</si>
  <si>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</si>
  <si>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</si>
  <si>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</si>
  <si>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</si>
  <si>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</si>
  <si>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</si>
  <si>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</si>
  <si>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</si>
  <si>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</si>
  <si>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</si>
  <si>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</si>
  <si>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</si>
  <si>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</si>
  <si>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</si>
  <si>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</si>
  <si>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</si>
  <si>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</si>
  <si>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</si>
  <si>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</si>
  <si>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</si>
  <si>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</si>
  <si>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</si>
  <si>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</si>
  <si>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</si>
  <si>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</si>
  <si>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</si>
  <si>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</si>
  <si>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</si>
  <si>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</si>
  <si>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</si>
  <si>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</si>
  <si>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</si>
  <si>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</si>
  <si>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</si>
  <si>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</si>
  <si>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</si>
  <si>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</si>
  <si>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</si>
  <si>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</si>
  <si>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</si>
  <si>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</si>
  <si>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</si>
  <si>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</si>
  <si>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</si>
  <si>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</si>
  <si>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</si>
  <si>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</si>
  <si>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</si>
  <si>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</si>
  <si>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</si>
  <si>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</si>
  <si>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</si>
  <si>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</si>
  <si>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</si>
  <si>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</si>
  <si>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</si>
  <si>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</si>
  <si>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</si>
  <si>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</si>
  <si>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</si>
  <si>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</si>
  <si>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</si>
  <si>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</si>
  <si>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</si>
  <si>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</si>
  <si>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</si>
  <si>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</si>
  <si>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</si>
  <si>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</si>
  <si>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</si>
  <si>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</si>
  <si>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</si>
  <si>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</si>
  <si>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</si>
  <si>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</si>
  <si>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</si>
  <si>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</si>
  <si>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</si>
  <si>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</si>
  <si>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</si>
  <si>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</si>
  <si>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</si>
  <si>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</si>
  <si>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</si>
  <si>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</si>
  <si>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</si>
  <si>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</si>
  <si>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</si>
  <si>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</si>
  <si>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</si>
  <si>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</si>
  <si>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</si>
  <si>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</si>
  <si>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</si>
  <si>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</si>
  <si>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</si>
  <si>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</si>
  <si>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</si>
  <si>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</si>
  <si>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</si>
  <si>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</si>
  <si>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</si>
  <si>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</si>
  <si>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</si>
  <si>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</si>
  <si>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</si>
  <si>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ALCORCON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</si>
</sst>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YpFEQFo1N4VRcdCuvnOolIUT06lF0YR3DuZOBbeALhZjKuse8Ej1Lyc1bEvC+jjamQY/J0qca/Y1eSsxn680w==" saltValue="v9ZuAzk+8wnPYTT4CU8PC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35</v>
      </c>
      <c r="D10" s="225">
        <f>IF(ISNUMBER(Datos!I10),Datos!I10," - ")</f>
        <v>35</v>
      </c>
      <c r="E10" s="226">
        <f>IF(ISNUMBER(Datos!J10),Datos!J10," - ")</f>
        <v>111</v>
      </c>
      <c r="F10" s="226">
        <f>IF(ISNUMBER(Datos!K10),Datos!K10," - ")</f>
        <v>95</v>
      </c>
      <c r="G10" s="1034" t="str">
        <f>IF(Datos!E10&lt;&gt;"",Datos!E10,Datos!D10)</f>
        <v>37</v>
      </c>
      <c r="H10" s="227">
        <f>IF(ISNUMBER(Datos!L10),Datos!L10," - ")</f>
        <v>51</v>
      </c>
      <c r="I10" s="1044" t="str">
        <f>IF(ISNUMBER(Datos!AS10/Datos!BM10),Datos!AS10/Datos!BM10," - ")</f>
        <v xml:space="preserve"> - </v>
      </c>
      <c r="J10" s="1045">
        <f>IF(ISNUMBER(Datos!BY10/Datos!CN10),Datos!BY10/Datos!CN10," - ")</f>
        <v>0</v>
      </c>
      <c r="K10" s="230">
        <f t="shared" ref="K10:K12" si="1">IF(ISNUMBER((E10-F10)/C10),(E10-F10)/C10," - ")</f>
        <v>0.45714285714285713</v>
      </c>
      <c r="L10" s="1025">
        <f>IF(ISNUMBER(NºAsuntos!I10/NºAsuntos!G10),(NºAsuntos!I10/NºAsuntos!G10)*11," - ")</f>
        <v>5.905263157894737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6.3990620812862886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v>
      </c>
      <c r="D13" s="1049">
        <f>SUBTOTAL(9,D9:D12)</f>
        <v>35</v>
      </c>
      <c r="E13" s="1050">
        <f>SUBTOTAL(9,E9:E12)</f>
        <v>111</v>
      </c>
      <c r="F13" s="1051">
        <f>SUBTOTAL(9,F9:F12)</f>
        <v>95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2260</v>
      </c>
      <c r="D16" s="225">
        <f>IF(ISNUMBER(IF(D_I="SI",Datos!I16,Datos!I16+Datos!AC16)),IF(D_I="SI",Datos!I16,Datos!I16+Datos!AC16)," - ")</f>
        <v>2073</v>
      </c>
      <c r="E16" s="226">
        <f>IF(ISNUMBER(IF(D_I="SI",Datos!J16,Datos!J16+Datos!AD16)),IF(D_I="SI",Datos!J16,Datos!J16+Datos!AD16)," - ")</f>
        <v>9083</v>
      </c>
      <c r="F16" s="226">
        <f>IF(ISNUMBER(IF(D_I="SI",Datos!K16,Datos!K16+Datos!AE16)),IF(D_I="SI",Datos!K16,Datos!K16+Datos!AE16)," - ")</f>
        <v>8612</v>
      </c>
      <c r="G16" s="1034" t="str">
        <f>IF(Datos!E16&lt;&gt;"",Datos!E16,Datos!D16)</f>
        <v>04</v>
      </c>
      <c r="H16" s="227">
        <f>IF(ISNUMBER(IF(D_I="SI",Datos!L16,Datos!L16+Datos!AF16)),IF(D_I="SI",Datos!L16,Datos!L16+Datos!AF16)," - ")</f>
        <v>2731</v>
      </c>
      <c r="I16" s="1044" t="str">
        <f>IF(ISNUMBER(Datos!AS16/Datos!BM16),Datos!AS16/Datos!BM16," - ")</f>
        <v xml:space="preserve"> - </v>
      </c>
      <c r="J16" s="1045">
        <f>IF(ISNUMBER(Datos!BY16/Datos!CN16),Datos!BY16/Datos!CN16," - ")</f>
        <v>0</v>
      </c>
      <c r="K16" s="230">
        <f t="shared" si="3"/>
        <v>0.20840707964601771</v>
      </c>
      <c r="L16" s="1025">
        <f>IF(ISNUMBER(NºAsuntos!I16/NºAsuntos!G16),(NºAsuntos!I16/NºAsuntos!G16)*11," - ")</f>
        <v>3.4882721783557828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141</v>
      </c>
      <c r="D17" s="225">
        <f>IF(ISNUMBER(IF(D_I="SI",Datos!I17,Datos!I17+Datos!AC17)),IF(D_I="SI",Datos!I17,Datos!I17+Datos!AC17)," - ")</f>
        <v>136</v>
      </c>
      <c r="E17" s="226">
        <f>IF(ISNUMBER(IF(D_I="SI",Datos!J17,Datos!J17+Datos!AD17)),IF(D_I="SI",Datos!J17,Datos!J17+Datos!AD17)," - ")</f>
        <v>888</v>
      </c>
      <c r="F17" s="226">
        <f>IF(ISNUMBER(IF(D_I="SI",Datos!K17,Datos!K17+Datos!AE17)),IF(D_I="SI",Datos!K17,Datos!K17+Datos!AE17)," - ")</f>
        <v>868</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0.14184397163120568</v>
      </c>
      <c r="L17" s="1025">
        <f>IF(ISNUMBER(NºAsuntos!I17/NºAsuntos!G17),(NºAsuntos!I17/NºAsuntos!G17)*11," - ")</f>
        <v>2.0403225806451615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2401</v>
      </c>
      <c r="D18" s="1049">
        <f>SUBTOTAL(9,D15:D17)</f>
        <v>2209</v>
      </c>
      <c r="E18" s="1050">
        <f>SUBTOTAL(9,E15:E17)</f>
        <v>9971</v>
      </c>
      <c r="F18" s="1050">
        <f>SUBTOTAL(9,F15:F17)</f>
        <v>9480</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2436</v>
      </c>
      <c r="D19" s="1071">
        <f>SUBTOTAL(9,D9:D18)</f>
        <v>2244</v>
      </c>
      <c r="E19" s="1072">
        <f>SUBTOTAL(9,E9:E18)</f>
        <v>10082</v>
      </c>
      <c r="F19" s="1072">
        <f>SUBTOTAL(9,F9:F18)</f>
        <v>9575</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qbWBx5MHlgkwdiEC1VLH4bSpMz+mzFtug0QmjZvi3XnE23Yj4wu6YaGn7m29akqubJnUHY1O54Mo6v1TRCjw==" saltValue="ernEfulJch0eClm0ErNo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kkTOkHaEUsmvEor7RK3twzq9yLU+Luo+OXYekzF3K2cTjra0ptule6KTj7vA8SoyQ7dEjMe3o7TBytr5ETFkw==" saltValue="czAfs4d9pWlQr9BTyA/C8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v>
      </c>
      <c r="J10" s="181">
        <v>111</v>
      </c>
      <c r="K10" s="181">
        <v>95</v>
      </c>
      <c r="L10" s="181">
        <v>51</v>
      </c>
      <c r="M10" s="181">
        <v>27</v>
      </c>
      <c r="N10" s="181">
        <v>29</v>
      </c>
      <c r="O10" s="181">
        <v>13</v>
      </c>
      <c r="P10" s="181">
        <v>13</v>
      </c>
      <c r="Q10" s="181">
        <v>20</v>
      </c>
      <c r="R10" s="181">
        <v>52</v>
      </c>
      <c r="S10" s="181">
        <v>42</v>
      </c>
      <c r="T10" s="181">
        <v>99</v>
      </c>
      <c r="U10" s="181">
        <v>106</v>
      </c>
      <c r="V10" s="181">
        <v>35</v>
      </c>
      <c r="W10" s="181">
        <v>55</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42</v>
      </c>
      <c r="AZ10" s="129">
        <f t="shared" si="0"/>
        <v>99</v>
      </c>
      <c r="BA10" s="129">
        <f t="shared" si="0"/>
        <v>106</v>
      </c>
      <c r="BB10" s="129">
        <f t="shared" si="0"/>
        <v>35</v>
      </c>
      <c r="BC10" s="125">
        <f t="shared" si="0"/>
        <v>55</v>
      </c>
      <c r="BD10" s="126">
        <f>IF(ISNUMBER(BA10/AZ10),BA10/AZ10," - ")</f>
        <v>1.0707070707070707</v>
      </c>
      <c r="BE10" s="127">
        <f>IF(ISNUMBER(BB10/BA10),BB10/BA10, " - ")</f>
        <v>0.330188679245283</v>
      </c>
      <c r="BF10" s="127">
        <f>IF(ISNUMBER(BC10/BA10),BC10/BA10, " - ")</f>
        <v>0.51886792452830188</v>
      </c>
      <c r="BG10" s="196">
        <f>IF(ISNUMBER((AY10+AZ10)/BA10),(AY10+AZ10)/BA10," - ")</f>
        <v>1.3301886792452831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4081</v>
      </c>
      <c r="J12" s="183">
        <v>9341</v>
      </c>
      <c r="K12" s="183">
        <v>8265</v>
      </c>
      <c r="L12" s="183">
        <v>5062</v>
      </c>
      <c r="M12" s="183">
        <v>1500</v>
      </c>
      <c r="N12" s="183">
        <v>5121</v>
      </c>
      <c r="O12" s="181">
        <v>2776</v>
      </c>
      <c r="P12" s="183">
        <v>1723</v>
      </c>
      <c r="Q12" s="183">
        <v>1542</v>
      </c>
      <c r="R12" s="183">
        <v>6674</v>
      </c>
      <c r="S12" s="183">
        <v>2921</v>
      </c>
      <c r="T12" s="183">
        <v>7926</v>
      </c>
      <c r="U12" s="183">
        <v>6824</v>
      </c>
      <c r="V12" s="183">
        <v>4081</v>
      </c>
      <c r="W12" s="183">
        <v>1292</v>
      </c>
      <c r="X12" s="189">
        <v>4049</v>
      </c>
      <c r="Y12" s="191">
        <v>138</v>
      </c>
      <c r="Z12" s="181">
        <v>699</v>
      </c>
      <c r="AA12" s="181">
        <v>691</v>
      </c>
      <c r="AB12" s="181">
        <v>148</v>
      </c>
      <c r="AC12" s="183">
        <v>0</v>
      </c>
      <c r="AD12" s="183">
        <v>0</v>
      </c>
      <c r="AE12" s="183">
        <v>0</v>
      </c>
      <c r="AF12" s="189">
        <v>0</v>
      </c>
      <c r="AG12" s="202">
        <v>210</v>
      </c>
      <c r="AH12" s="183">
        <v>669</v>
      </c>
      <c r="AI12" s="183">
        <v>741</v>
      </c>
      <c r="AJ12" s="203">
        <v>138</v>
      </c>
      <c r="AK12" s="182">
        <v>0</v>
      </c>
      <c r="AL12" s="183">
        <v>0</v>
      </c>
      <c r="AM12" s="183">
        <v>0</v>
      </c>
      <c r="AN12" s="189">
        <v>0</v>
      </c>
      <c r="AO12" s="259">
        <v>7</v>
      </c>
      <c r="AP12" s="155">
        <v>7</v>
      </c>
      <c r="AQ12" s="155">
        <v>7</v>
      </c>
      <c r="AR12" s="154">
        <v>7</v>
      </c>
      <c r="AS12" s="340" t="s">
        <v>802</v>
      </c>
      <c r="AT12" s="203"/>
      <c r="AU12" s="202"/>
      <c r="AV12" s="203"/>
      <c r="AW12" s="202"/>
      <c r="AX12" s="203"/>
      <c r="AY12" s="126">
        <f t="shared" si="1"/>
        <v>3131</v>
      </c>
      <c r="AZ12" s="127">
        <f t="shared" si="1"/>
        <v>8595</v>
      </c>
      <c r="BA12" s="127">
        <f t="shared" si="1"/>
        <v>7565</v>
      </c>
      <c r="BB12" s="127">
        <f t="shared" si="1"/>
        <v>4219</v>
      </c>
      <c r="BC12" s="125">
        <f>IF(ISNUMBER(X12),X12," - ")</f>
        <v>4049</v>
      </c>
      <c r="BD12" s="126">
        <f t="shared" si="2"/>
        <v>0.88016288539848753</v>
      </c>
      <c r="BE12" s="127">
        <f t="shared" si="3"/>
        <v>0.55769993390614669</v>
      </c>
      <c r="BF12" s="127">
        <f t="shared" si="4"/>
        <v>0.5352280237937872</v>
      </c>
      <c r="BG12" s="196">
        <f t="shared" si="5"/>
        <v>1.5500330469266359</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4116</v>
      </c>
      <c r="J13" s="184">
        <f t="shared" si="6"/>
        <v>9452</v>
      </c>
      <c r="K13" s="184">
        <f t="shared" si="6"/>
        <v>8360</v>
      </c>
      <c r="L13" s="184">
        <f t="shared" si="6"/>
        <v>5113</v>
      </c>
      <c r="M13" s="184">
        <f t="shared" si="6"/>
        <v>1527</v>
      </c>
      <c r="N13" s="184">
        <f t="shared" si="6"/>
        <v>5150</v>
      </c>
      <c r="O13" s="184">
        <f t="shared" si="6"/>
        <v>2789</v>
      </c>
      <c r="P13" s="184">
        <f t="shared" si="6"/>
        <v>1736</v>
      </c>
      <c r="Q13" s="184">
        <f t="shared" si="6"/>
        <v>1562</v>
      </c>
      <c r="R13" s="184">
        <f t="shared" si="6"/>
        <v>6726</v>
      </c>
      <c r="S13" s="184">
        <f t="shared" si="6"/>
        <v>2963</v>
      </c>
      <c r="T13" s="184">
        <f t="shared" si="6"/>
        <v>8025</v>
      </c>
      <c r="U13" s="184">
        <f t="shared" si="6"/>
        <v>6930</v>
      </c>
      <c r="V13" s="184">
        <f t="shared" si="6"/>
        <v>4116</v>
      </c>
      <c r="W13" s="184">
        <f t="shared" si="6"/>
        <v>1347</v>
      </c>
      <c r="X13" s="184">
        <f t="shared" si="6"/>
        <v>4072</v>
      </c>
      <c r="Y13" s="184">
        <f t="shared" si="6"/>
        <v>138</v>
      </c>
      <c r="Z13" s="184">
        <f t="shared" si="6"/>
        <v>699</v>
      </c>
      <c r="AA13" s="184">
        <f t="shared" si="6"/>
        <v>691</v>
      </c>
      <c r="AB13" s="184">
        <f t="shared" si="6"/>
        <v>148</v>
      </c>
      <c r="AC13" s="184">
        <f t="shared" si="6"/>
        <v>0</v>
      </c>
      <c r="AD13" s="184">
        <f t="shared" si="6"/>
        <v>0</v>
      </c>
      <c r="AE13" s="184">
        <f t="shared" si="6"/>
        <v>0</v>
      </c>
      <c r="AF13" s="184">
        <f>SUBTOTAL(9,AF9:AF12)</f>
        <v>0</v>
      </c>
      <c r="AG13" s="184">
        <f t="shared" ref="AG13:AT13" si="7">SUBTOTAL(9,AG8:AG12)</f>
        <v>210</v>
      </c>
      <c r="AH13" s="184">
        <f t="shared" si="7"/>
        <v>669</v>
      </c>
      <c r="AI13" s="184">
        <f t="shared" si="7"/>
        <v>741</v>
      </c>
      <c r="AJ13" s="184">
        <f t="shared" si="7"/>
        <v>138</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3173</v>
      </c>
      <c r="AZ13" s="184">
        <f>SUBTOTAL(9,AZ8:AZ12)</f>
        <v>8694</v>
      </c>
      <c r="BA13" s="184">
        <f>SUBTOTAL(9,BA8:BA12)</f>
        <v>7671</v>
      </c>
      <c r="BB13" s="184">
        <f>SUBTOTAL(9,BB8:BB12)</f>
        <v>4254</v>
      </c>
      <c r="BC13" s="184">
        <f>SUBTOTAL(9,BC8:BC12)</f>
        <v>4104</v>
      </c>
      <c r="BD13" s="205">
        <f>IF(ISNUMBER(BA13/AZ13),BA13/AZ13," - ")</f>
        <v>0.88233264320220839</v>
      </c>
      <c r="BE13" s="206">
        <f>IF(ISNUMBER(BB13/BA13),BB13/BA13, " - ")</f>
        <v>0.55455612045365665</v>
      </c>
      <c r="BF13" s="206">
        <f>IF(ISNUMBER(BC13/BA13),BC13/BA13, " - ")</f>
        <v>0.53500195541650375</v>
      </c>
      <c r="BG13" s="207">
        <f>IF(ISNUMBER((AY13+AZ13)/BA13),(AY13+AZ13)/BA13," - ")</f>
        <v>1.5469951766392909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2073</v>
      </c>
      <c r="J16" s="183">
        <v>9083</v>
      </c>
      <c r="K16" s="183">
        <v>8612</v>
      </c>
      <c r="L16" s="183">
        <v>2731</v>
      </c>
      <c r="M16" s="183">
        <v>1252</v>
      </c>
      <c r="N16" s="183">
        <v>5143</v>
      </c>
      <c r="O16" s="181">
        <v>235</v>
      </c>
      <c r="P16" s="183">
        <v>700</v>
      </c>
      <c r="Q16" s="183">
        <v>592</v>
      </c>
      <c r="R16" s="183">
        <v>683</v>
      </c>
      <c r="S16" s="183">
        <v>1521</v>
      </c>
      <c r="T16" s="183">
        <v>8399</v>
      </c>
      <c r="U16" s="183">
        <v>8238</v>
      </c>
      <c r="V16" s="183">
        <v>2073</v>
      </c>
      <c r="W16" s="183">
        <v>1304</v>
      </c>
      <c r="X16" s="189">
        <v>4879</v>
      </c>
      <c r="Y16" s="202">
        <v>0</v>
      </c>
      <c r="Z16" s="183">
        <v>0</v>
      </c>
      <c r="AA16" s="183">
        <v>0</v>
      </c>
      <c r="AB16" s="183">
        <v>0</v>
      </c>
      <c r="AC16" s="183">
        <v>4</v>
      </c>
      <c r="AD16" s="183">
        <v>407</v>
      </c>
      <c r="AE16" s="183">
        <v>408</v>
      </c>
      <c r="AF16" s="189">
        <v>3</v>
      </c>
      <c r="AG16" s="202">
        <v>0</v>
      </c>
      <c r="AH16" s="183">
        <v>0</v>
      </c>
      <c r="AI16" s="183">
        <v>0</v>
      </c>
      <c r="AJ16" s="203">
        <v>0</v>
      </c>
      <c r="AK16" s="182">
        <v>3</v>
      </c>
      <c r="AL16" s="183">
        <v>518</v>
      </c>
      <c r="AM16" s="183">
        <v>517</v>
      </c>
      <c r="AN16" s="189">
        <v>4</v>
      </c>
      <c r="AO16" s="259">
        <v>7</v>
      </c>
      <c r="AP16" s="155">
        <v>7</v>
      </c>
      <c r="AQ16" s="155">
        <v>7</v>
      </c>
      <c r="AR16" s="155">
        <v>7</v>
      </c>
      <c r="AS16" s="340" t="s">
        <v>487</v>
      </c>
      <c r="AT16" s="203"/>
      <c r="AU16" s="202"/>
      <c r="AV16" s="203"/>
      <c r="AW16" s="202"/>
      <c r="AX16" s="203"/>
      <c r="AY16" s="126">
        <f t="shared" si="9"/>
        <v>1521</v>
      </c>
      <c r="AZ16" s="127">
        <f t="shared" si="9"/>
        <v>8399</v>
      </c>
      <c r="BA16" s="127">
        <f t="shared" si="9"/>
        <v>8238</v>
      </c>
      <c r="BB16" s="127">
        <f t="shared" si="9"/>
        <v>2073</v>
      </c>
      <c r="BC16" s="125">
        <f>IF(ISNUMBER(W16),W16," - ")</f>
        <v>1304</v>
      </c>
      <c r="BD16" s="126">
        <f t="shared" ref="BD16" si="11">IF(ISNUMBER(BA16/AZ16),BA16/AZ16," - ")</f>
        <v>0.98083105131563286</v>
      </c>
      <c r="BE16" s="127">
        <f t="shared" ref="BE16" si="12">IF(ISNUMBER(BB16/BA16),BB16/BA16, " - ")</f>
        <v>0.25163874726875457</v>
      </c>
      <c r="BF16" s="127">
        <f t="shared" ref="BF16" si="13">IF(ISNUMBER(BC16/BA16),BC16/BA16, " - ")</f>
        <v>0.15829084729303228</v>
      </c>
      <c r="BG16" s="196">
        <f t="shared" si="10"/>
        <v>1.2041757708181597</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136</v>
      </c>
      <c r="J17" s="183">
        <v>888</v>
      </c>
      <c r="K17" s="183">
        <v>868</v>
      </c>
      <c r="L17" s="183">
        <v>161</v>
      </c>
      <c r="M17" s="183">
        <v>36</v>
      </c>
      <c r="N17" s="183">
        <v>384</v>
      </c>
      <c r="O17" s="183">
        <v>3</v>
      </c>
      <c r="P17" s="183">
        <v>10</v>
      </c>
      <c r="Q17" s="183">
        <v>6</v>
      </c>
      <c r="R17" s="183">
        <v>8</v>
      </c>
      <c r="S17" s="183">
        <v>117</v>
      </c>
      <c r="T17" s="183">
        <v>864</v>
      </c>
      <c r="U17" s="183">
        <v>857</v>
      </c>
      <c r="V17" s="183">
        <v>136</v>
      </c>
      <c r="W17" s="183">
        <v>42</v>
      </c>
      <c r="X17" s="189">
        <v>417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117</v>
      </c>
      <c r="AZ17" s="129">
        <f t="shared" si="14"/>
        <v>864</v>
      </c>
      <c r="BA17" s="129">
        <f t="shared" si="14"/>
        <v>857</v>
      </c>
      <c r="BB17" s="129">
        <f t="shared" si="14"/>
        <v>136</v>
      </c>
      <c r="BC17" s="125">
        <f>IF(ISNUMBER(W17),W17," - ")</f>
        <v>42</v>
      </c>
      <c r="BD17" s="126">
        <f>IF(ISNUMBER(BA17/AZ17),BA17/AZ17," - ")</f>
        <v>0.99189814814814814</v>
      </c>
      <c r="BE17" s="127">
        <f>IF(ISNUMBER(BB17/BA17),BB17/BA17, " - ")</f>
        <v>0.15869311551925322</v>
      </c>
      <c r="BF17" s="127">
        <f>IF(ISNUMBER(BC17/BA17),BC17/BA17, " - ")</f>
        <v>4.9008168028004666E-2</v>
      </c>
      <c r="BG17" s="196">
        <f>IF(ISNUMBER((AY17+AZ17)/BA17),(AY17+AZ17)/BA17," - ")</f>
        <v>1.1446907817969663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2209</v>
      </c>
      <c r="J18" s="184">
        <f t="shared" si="15"/>
        <v>9971</v>
      </c>
      <c r="K18" s="184">
        <f t="shared" si="15"/>
        <v>9480</v>
      </c>
      <c r="L18" s="184">
        <f t="shared" si="15"/>
        <v>2892</v>
      </c>
      <c r="M18" s="184">
        <f t="shared" si="15"/>
        <v>1288</v>
      </c>
      <c r="N18" s="184">
        <f t="shared" si="15"/>
        <v>5527</v>
      </c>
      <c r="O18" s="184">
        <f t="shared" si="15"/>
        <v>238</v>
      </c>
      <c r="P18" s="184">
        <f t="shared" si="15"/>
        <v>710</v>
      </c>
      <c r="Q18" s="184">
        <f t="shared" si="15"/>
        <v>598</v>
      </c>
      <c r="R18" s="184">
        <f t="shared" si="15"/>
        <v>691</v>
      </c>
      <c r="S18" s="184">
        <f t="shared" si="15"/>
        <v>1638</v>
      </c>
      <c r="T18" s="184">
        <f t="shared" si="15"/>
        <v>9263</v>
      </c>
      <c r="U18" s="184">
        <f t="shared" si="15"/>
        <v>9095</v>
      </c>
      <c r="V18" s="184">
        <f t="shared" si="15"/>
        <v>2209</v>
      </c>
      <c r="W18" s="184">
        <f t="shared" si="15"/>
        <v>1346</v>
      </c>
      <c r="X18" s="184">
        <f t="shared" si="15"/>
        <v>5296</v>
      </c>
      <c r="Y18" s="184">
        <f t="shared" si="15"/>
        <v>0</v>
      </c>
      <c r="Z18" s="184">
        <f t="shared" si="15"/>
        <v>0</v>
      </c>
      <c r="AA18" s="184">
        <f t="shared" si="15"/>
        <v>0</v>
      </c>
      <c r="AB18" s="184">
        <f t="shared" si="15"/>
        <v>0</v>
      </c>
      <c r="AC18" s="184">
        <f t="shared" si="15"/>
        <v>4</v>
      </c>
      <c r="AD18" s="184">
        <f t="shared" si="15"/>
        <v>407</v>
      </c>
      <c r="AE18" s="184">
        <f t="shared" si="15"/>
        <v>408</v>
      </c>
      <c r="AF18" s="184">
        <f t="shared" si="15"/>
        <v>3</v>
      </c>
      <c r="AG18" s="184">
        <f t="shared" si="15"/>
        <v>0</v>
      </c>
      <c r="AH18" s="184">
        <f t="shared" si="15"/>
        <v>0</v>
      </c>
      <c r="AI18" s="184">
        <f t="shared" si="15"/>
        <v>0</v>
      </c>
      <c r="AJ18" s="184">
        <f t="shared" si="15"/>
        <v>0</v>
      </c>
      <c r="AK18" s="184">
        <f t="shared" si="15"/>
        <v>3</v>
      </c>
      <c r="AL18" s="184">
        <f t="shared" si="15"/>
        <v>518</v>
      </c>
      <c r="AM18" s="184">
        <f t="shared" si="15"/>
        <v>517</v>
      </c>
      <c r="AN18" s="184">
        <f t="shared" si="15"/>
        <v>4</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1638</v>
      </c>
      <c r="AZ18" s="184">
        <f>SUBTOTAL(9,AZ14:AZ17)</f>
        <v>9263</v>
      </c>
      <c r="BA18" s="184">
        <f>SUBTOTAL(9,BA14:BA17)</f>
        <v>9095</v>
      </c>
      <c r="BB18" s="184">
        <f>SUBTOTAL(9,BB14:BB17)</f>
        <v>2209</v>
      </c>
      <c r="BC18" s="184">
        <f>SUBTOTAL(9,BC14:BC17)</f>
        <v>1346</v>
      </c>
      <c r="BD18" s="205">
        <f>IF(ISNUMBER(BA18/AZ18),BA18/AZ18," - ")</f>
        <v>0.98186332721580483</v>
      </c>
      <c r="BE18" s="206">
        <f>IF(ISNUMBER(BB18/BA18),BB18/BA18, " - ")</f>
        <v>0.2428807036833425</v>
      </c>
      <c r="BF18" s="206">
        <f>IF(ISNUMBER(BC18/BA18),BC18/BA18, " - ")</f>
        <v>0.14799340296866409</v>
      </c>
      <c r="BG18" s="207">
        <f>IF(ISNUMBER((AY18+AZ18)/BA18),(AY18+AZ18)/BA18," - ")</f>
        <v>1.1985706432105552</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6325</v>
      </c>
      <c r="J19" s="134">
        <f t="shared" si="18"/>
        <v>19423</v>
      </c>
      <c r="K19" s="134">
        <f t="shared" si="18"/>
        <v>17840</v>
      </c>
      <c r="L19" s="134">
        <f t="shared" si="18"/>
        <v>8005</v>
      </c>
      <c r="M19" s="134">
        <f t="shared" si="18"/>
        <v>2815</v>
      </c>
      <c r="N19" s="134">
        <f t="shared" si="18"/>
        <v>10677</v>
      </c>
      <c r="O19" s="134">
        <f t="shared" si="18"/>
        <v>3027</v>
      </c>
      <c r="P19" s="134">
        <f t="shared" si="18"/>
        <v>2446</v>
      </c>
      <c r="Q19" s="134">
        <f t="shared" si="18"/>
        <v>2160</v>
      </c>
      <c r="R19" s="134">
        <f t="shared" si="18"/>
        <v>7417</v>
      </c>
      <c r="S19" s="134">
        <f t="shared" si="18"/>
        <v>4601</v>
      </c>
      <c r="T19" s="134">
        <f t="shared" si="18"/>
        <v>17288</v>
      </c>
      <c r="U19" s="134">
        <f t="shared" si="18"/>
        <v>16025</v>
      </c>
      <c r="V19" s="134">
        <f t="shared" si="18"/>
        <v>6325</v>
      </c>
      <c r="W19" s="134">
        <f t="shared" si="18"/>
        <v>2693</v>
      </c>
      <c r="X19" s="134">
        <f t="shared" si="18"/>
        <v>9368</v>
      </c>
      <c r="Y19" s="134">
        <f t="shared" si="18"/>
        <v>138</v>
      </c>
      <c r="Z19" s="134">
        <f t="shared" si="18"/>
        <v>699</v>
      </c>
      <c r="AA19" s="134">
        <f t="shared" si="18"/>
        <v>691</v>
      </c>
      <c r="AB19" s="134">
        <f t="shared" si="18"/>
        <v>148</v>
      </c>
      <c r="AC19" s="134">
        <f t="shared" si="18"/>
        <v>4</v>
      </c>
      <c r="AD19" s="134">
        <f t="shared" si="18"/>
        <v>407</v>
      </c>
      <c r="AE19" s="134">
        <f t="shared" si="18"/>
        <v>408</v>
      </c>
      <c r="AF19" s="134">
        <f t="shared" si="18"/>
        <v>3</v>
      </c>
      <c r="AG19" s="134">
        <f t="shared" si="18"/>
        <v>210</v>
      </c>
      <c r="AH19" s="134">
        <f t="shared" si="18"/>
        <v>669</v>
      </c>
      <c r="AI19" s="134">
        <f t="shared" si="18"/>
        <v>741</v>
      </c>
      <c r="AJ19" s="134">
        <f t="shared" si="18"/>
        <v>138</v>
      </c>
      <c r="AK19" s="134">
        <f t="shared" si="18"/>
        <v>3</v>
      </c>
      <c r="AL19" s="134">
        <f t="shared" si="18"/>
        <v>518</v>
      </c>
      <c r="AM19" s="134">
        <f t="shared" si="18"/>
        <v>517</v>
      </c>
      <c r="AN19" s="210">
        <f t="shared" si="18"/>
        <v>4</v>
      </c>
      <c r="AO19" s="211">
        <v>8</v>
      </c>
      <c r="AP19" s="211">
        <v>8</v>
      </c>
      <c r="AQ19" s="211">
        <v>8</v>
      </c>
      <c r="AR19" s="211">
        <v>8</v>
      </c>
      <c r="AS19" s="153">
        <f t="shared" si="18"/>
        <v>0</v>
      </c>
      <c r="AT19" s="153">
        <f t="shared" si="18"/>
        <v>0</v>
      </c>
      <c r="AU19" s="211"/>
      <c r="AV19" s="212"/>
      <c r="AW19" s="211"/>
      <c r="AX19" s="212"/>
      <c r="AY19" s="133">
        <f>SUBTOTAL(9,AY9:AY18)</f>
        <v>4811</v>
      </c>
      <c r="AZ19" s="134">
        <f>SUBTOTAL(9,AZ9:AZ18)</f>
        <v>17957</v>
      </c>
      <c r="BA19" s="134">
        <f>SUBTOTAL(9,BA9:BA18)</f>
        <v>16766</v>
      </c>
      <c r="BB19" s="134">
        <f>SUBTOTAL(9,BB9:BB18)</f>
        <v>6463</v>
      </c>
      <c r="BC19" s="135">
        <f>SUBTOTAL(9,BC9:BC18)</f>
        <v>5450</v>
      </c>
      <c r="BD19" s="213">
        <f>IF(ISNUMBER(BA19/AZ19),BA19/AZ19," - ")</f>
        <v>0.9336748900150359</v>
      </c>
      <c r="BE19" s="210">
        <f>IF(ISNUMBER(BB19/BA19),BB19/BA19, " - ")</f>
        <v>0.38548252415603007</v>
      </c>
      <c r="BF19" s="210">
        <f>IF(ISNUMBER(BC19/BA19),BC19/BA19, " - ")</f>
        <v>0.32506262674460218</v>
      </c>
      <c r="BG19" s="135">
        <f>IF(ISNUMBER((AY19+AZ19)/BA19),(AY19+AZ19)/BA19," - ")</f>
        <v>1.3579864010497436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OPuWVI/ENw3Z2fJiwsndQ+USb3teS7pqplGYfs/lXWutlOeLxIIAa7MoR4zzDuELffa8UY6vCjd+VjKraNimw==" saltValue="vcZI+02hZLbX+Pbjagkc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YrptRfI5n4mSXXZmAkISpJOxbSsA8GhSsxJWxKqHV5V1ChXnABahcUiZuhy3/xRbYK8W2kbDKdd1/YAF9Hbg==" saltValue="sKzsiK0WMLpMXUBuTyYO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35</v>
      </c>
      <c r="G10" s="333">
        <f>IF(ISNUMBER(Datos!I10),Datos!I10," - ")</f>
        <v>35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95</v>
      </c>
      <c r="AC10" s="226">
        <f>IF(ISNUMBER(Datos!Q10),Datos!Q10," - ")</f>
        <v>20</v>
      </c>
      <c r="AD10" s="334"/>
      <c r="AE10" s="484"/>
      <c r="AF10" s="332">
        <f>IF(ISNUMBER(Datos!L10),Datos!L10,"-")</f>
        <v>51</v>
      </c>
      <c r="AG10" s="334"/>
      <c r="AH10" s="334"/>
      <c r="AI10" s="334"/>
      <c r="AJ10" s="334"/>
      <c r="AK10" s="334"/>
      <c r="AL10" s="479"/>
      <c r="AM10" s="335">
        <f>IF(ISNUMBER(Datos!R10),Datos!R10," - ")</f>
        <v>52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29</v>
      </c>
      <c r="BE10" s="229" t="str">
        <f>IF(ISNUMBER(Datos!BW10),Datos!BW10," - ")</f>
        <v xml:space="preserve"> - </v>
      </c>
      <c r="BF10" s="228" t="str">
        <f>IF(ISNUMBER(Datos!BX10),Datos!BX10," - ")</f>
        <v xml:space="preserve"> - </v>
      </c>
      <c r="BG10" s="243">
        <f>IF(ISNUMBER(Datos!K10/Datos!J10),Datos!K10/Datos!J10," - ")</f>
        <v>0.85585585585585588</v>
      </c>
      <c r="BH10" s="260">
        <f>IF(ISNUMBER(((Datos!L10/Datos!K10)*11)/factor_trimestre),((Datos!L10/Datos!K10)*11)/factor_trimestre," - ")</f>
        <v>5.905263157894737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-0.11864406779661017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699</v>
      </c>
      <c r="O12" s="334"/>
      <c r="P12" s="334"/>
      <c r="Q12" s="226">
        <f>IF(ISNUMBER(Datos!P12),Datos!P12,0)</f>
        <v>1723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148</v>
      </c>
      <c r="AI12" s="334" t="str">
        <f>IF(ISNUMBER(Datos!CD12),Datos!CD12,"-")</f>
        <v>-</v>
      </c>
      <c r="AJ12" s="334" t="str">
        <f>IF(ISNUMBER(Datos!EN12),Datos!EN12," - ")</f>
        <v xml:space="preserve"> - </v>
      </c>
      <c r="AK12" s="334"/>
      <c r="AL12" s="479"/>
      <c r="AM12" s="335">
        <f>IF(ISNUMBER(Datos!R12),Datos!R12," - ")</f>
        <v>6674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1500</v>
      </c>
      <c r="BD12" s="229">
        <f>IF(ISNUMBER(Datos!N12),Datos!N12," - ")</f>
        <v>5121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0.89203187250996019</v>
      </c>
      <c r="BH12" s="260">
        <f>IF(ISNUMBER(((IF(J_V="SI",Datos!L12/Datos!K12,(Datos!L12+Datos!AB12)/(Datos!K12+Datos!AA12)))*11)/factor_trimestre),((IF(J_V="SI",Datos!L12/Datos!K12,(Datos!L12+Datos!AB12)/(Datos!K12+Datos!AA12)))*11)/factor_trimestre," - ")</f>
        <v>6.3990620812862886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2.7876174341598645E-2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35</v>
      </c>
      <c r="G13" s="898">
        <f t="shared" si="0"/>
        <v>35</v>
      </c>
      <c r="H13" s="899">
        <f t="shared" si="0"/>
        <v>0</v>
      </c>
      <c r="I13" s="898">
        <f t="shared" si="0"/>
        <v>0</v>
      </c>
      <c r="J13" s="867">
        <f t="shared" si="0"/>
        <v>0</v>
      </c>
      <c r="K13" s="867">
        <f t="shared" si="0"/>
        <v>0</v>
      </c>
      <c r="L13" s="899">
        <f t="shared" si="0"/>
        <v>0</v>
      </c>
      <c r="M13" s="899">
        <f t="shared" si="0"/>
        <v>0</v>
      </c>
      <c r="N13" s="899">
        <f t="shared" si="0"/>
        <v>699</v>
      </c>
      <c r="O13" s="900">
        <f t="shared" si="0"/>
        <v>0</v>
      </c>
      <c r="P13" s="900">
        <f t="shared" si="0"/>
        <v>0</v>
      </c>
      <c r="Q13" s="899">
        <f t="shared" si="0"/>
        <v>1736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95</v>
      </c>
      <c r="AC13" s="899">
        <f t="shared" si="1"/>
        <v>1562</v>
      </c>
      <c r="AD13" s="899">
        <f t="shared" si="1"/>
        <v>0</v>
      </c>
      <c r="AE13" s="899">
        <f t="shared" si="1"/>
        <v>0</v>
      </c>
      <c r="AF13" s="899">
        <f t="shared" si="1"/>
        <v>51</v>
      </c>
      <c r="AG13" s="899">
        <f t="shared" si="1"/>
        <v>0</v>
      </c>
      <c r="AH13" s="899">
        <f t="shared" si="1"/>
        <v>148</v>
      </c>
      <c r="AI13" s="899">
        <f t="shared" si="1"/>
        <v>0</v>
      </c>
      <c r="AJ13" s="899">
        <f t="shared" si="1"/>
        <v>0</v>
      </c>
      <c r="AK13" s="899">
        <f t="shared" si="1"/>
        <v>0</v>
      </c>
      <c r="AL13" s="899">
        <f t="shared" si="1"/>
        <v>0</v>
      </c>
      <c r="AM13" s="899">
        <f t="shared" si="1"/>
        <v>6726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1527</v>
      </c>
      <c r="BD13" s="899">
        <f t="shared" si="1"/>
        <v>5150</v>
      </c>
      <c r="BE13" s="899">
        <f t="shared" si="1"/>
        <v>0</v>
      </c>
      <c r="BF13" s="899">
        <f t="shared" si="1"/>
        <v>0</v>
      </c>
      <c r="BG13" s="899">
        <f>IF(ISNUMBER(Datos!K13/Datos!J13),Datos!K13/Datos!J13," - ")</f>
        <v>0.88446889547185781</v>
      </c>
      <c r="BH13" s="903">
        <f>IF(ISNUMBER(((Datos!L13/Datos!K13)*11)/factor_trimestre),((Datos!L13/Datos!K13)*11)/factor_trimestre," - ")</f>
        <v>6.7276315789473689</v>
      </c>
      <c r="BI13" s="899">
        <f>IF(ISNUMBER('Resol  Asuntos'!D13/NºAsuntos!G13),'Resol  Asuntos'!D13/NºAsuntos!G13," - ")</f>
        <v>0.16871063970831951</v>
      </c>
      <c r="BJ13" s="899" t="str">
        <f>IF(ISNUMBER(Datos!CI13/Datos!CJ13),Datos!CI13/Datos!CJ13," - ")</f>
        <v xml:space="preserve"> - </v>
      </c>
      <c r="BK13" s="899">
        <f>SUBTOTAL(9,BK8:BK12)</f>
        <v>0</v>
      </c>
      <c r="BL13" s="899">
        <f>IF(ISNUMBER((I13-AB13+L13)/(F13)),(I13-AB13+L13)/(F13)," - ")</f>
        <v>-2.7142857142857144</v>
      </c>
      <c r="BM13" s="904">
        <f>SUBTOTAL(9,BM9:BM12)</f>
        <v>-9.0767893455011531E-2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2260</v>
      </c>
      <c r="G16" s="598">
        <f>IF(ISNUMBER(IF(D_I="SI",Datos!I16,Datos!I16+Datos!AC16)),IF(D_I="SI",Datos!I16,Datos!I16+Datos!AC16)," - ")</f>
        <v>2073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700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8612</v>
      </c>
      <c r="AC16" s="226">
        <f>IF(ISNUMBER(Datos!Q16),Datos!Q16," - ")</f>
        <v>592</v>
      </c>
      <c r="AD16" s="334"/>
      <c r="AE16" s="484"/>
      <c r="AF16" s="596">
        <f>IF(ISNUMBER(IF(D_I="SI",Datos!L16,Datos!L16+Datos!AF16)),IF(D_I="SI",Datos!L16,Datos!L16+Datos!AF16)," - ")</f>
        <v>2731</v>
      </c>
      <c r="AG16" s="334"/>
      <c r="AH16" s="334"/>
      <c r="AI16" s="334"/>
      <c r="AJ16" s="334"/>
      <c r="AK16" s="334"/>
      <c r="AL16" s="479"/>
      <c r="AM16" s="335">
        <f>IF(ISNUMBER(Datos!R16),Datos!R16," - ")</f>
        <v>683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1252</v>
      </c>
      <c r="BD16" s="229">
        <f>IF(ISNUMBER(Datos!N16),Datos!N16," - ")</f>
        <v>5143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0.94814488605086422</v>
      </c>
      <c r="BH16" s="260">
        <f>IF(ISNUMBER(((IF(D_I="SI",Datos!L16/Datos!K16,(Datos!L16+Datos!AF16)/(Datos!K16+Datos!AE16)))*11)/factor_trimestre),((IF(D_I="SI",Datos!L16/Datos!K16,(Datos!L16+Datos!AF16)/(Datos!K16+Datos!AE16)))*11)/factor_trimestre," - ")</f>
        <v>3.4882721783557828</v>
      </c>
      <c r="BI16" s="243">
        <f>IF(ISNUMBER('Resol  Asuntos'!D16/NºAsuntos!G16),'Resol  Asuntos'!D16/NºAsuntos!G16," - ")</f>
        <v>0.14537854156990246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868</v>
      </c>
      <c r="AC17" s="226">
        <f>IF(ISNUMBER(Datos!Q17),Datos!Q17," - ")</f>
        <v>6</v>
      </c>
      <c r="AD17" s="334"/>
      <c r="AE17" s="484"/>
      <c r="AF17" s="332">
        <f>IF(ISNUMBER(Datos!L17),Datos!L17,"-")</f>
        <v>161</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384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0.97747747747747749</v>
      </c>
      <c r="BH17" s="260">
        <f>IF(ISNUMBER(((IF(D_I="SI",Datos!L17/Datos!K17,(Datos!L17+Datos!AF17)/(Datos!K17+Datos!AE17)))*11)/factor_trimestre),((IF(D_I="SI",Datos!L17/Datos!K17,(Datos!L17+Datos!AF17)/(Datos!K17+Datos!AE17)))*11)/factor_trimestre," - ")</f>
        <v>2.0403225806451615</v>
      </c>
      <c r="BI17" s="243">
        <f>IF(ISNUMBER('Resol  Asuntos'!D17/NºAsuntos!G17),'Resol  Asuntos'!D17/NºAsuntos!G17," - ")</f>
        <v>4.1474654377880185E-2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2260</v>
      </c>
      <c r="G18" s="898">
        <f>SUBTOTAL(9,G15:G17)</f>
        <v>2209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9480</v>
      </c>
      <c r="AC18" s="899">
        <f t="shared" si="4"/>
        <v>598</v>
      </c>
      <c r="AD18" s="899">
        <f t="shared" si="4"/>
        <v>0</v>
      </c>
      <c r="AE18" s="899">
        <f t="shared" si="4"/>
        <v>0</v>
      </c>
      <c r="AF18" s="899">
        <f t="shared" si="4"/>
        <v>2892</v>
      </c>
      <c r="AG18" s="899">
        <f t="shared" si="4"/>
        <v>0</v>
      </c>
      <c r="AH18" s="899">
        <f t="shared" si="4"/>
        <v>0</v>
      </c>
      <c r="AI18" s="899">
        <f t="shared" si="4"/>
        <v>0</v>
      </c>
      <c r="AJ18" s="899">
        <f t="shared" si="4"/>
        <v>0</v>
      </c>
      <c r="AK18" s="899">
        <f t="shared" si="4"/>
        <v>0</v>
      </c>
      <c r="AL18" s="899">
        <f t="shared" si="4"/>
        <v>0</v>
      </c>
      <c r="AM18" s="899">
        <f t="shared" si="4"/>
        <v>691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1288</v>
      </c>
      <c r="BD18" s="899">
        <f t="shared" si="4"/>
        <v>5527</v>
      </c>
      <c r="BE18" s="899">
        <f t="shared" si="4"/>
        <v>0</v>
      </c>
      <c r="BF18" s="899">
        <f t="shared" si="4"/>
        <v>0</v>
      </c>
      <c r="BG18" s="899">
        <f>IF(ISNUMBER(Datos!K18/Datos!J18),Datos!K18/Datos!J18," - ")</f>
        <v>0.95075719586801721</v>
      </c>
      <c r="BH18" s="903">
        <f>IF(ISNUMBER(((Datos!L18/Datos!K18)*11)/factor_trimestre),((Datos!L18/Datos!K18)*11)/factor_trimestre," - ")</f>
        <v>3.3556962025316457</v>
      </c>
      <c r="BI18" s="899">
        <f>SUBTOTAL(9,BI15:BI17)</f>
        <v>0.18685319594778266</v>
      </c>
      <c r="BJ18" s="899">
        <f>SUBTOTAL(9,BJ15:BJ17)</f>
        <v>0</v>
      </c>
      <c r="BK18" s="899">
        <f>SUBTOTAL(9,BK15:BK17)</f>
        <v>0</v>
      </c>
      <c r="BL18" s="899">
        <f>IF(ISNUMBER((I18-AB18+L18)/(F18)),(I18-AB18+L18)/(F18)," - ")</f>
        <v>-4.1946902654867255</v>
      </c>
      <c r="BM18" s="905">
        <f>IF(ISNUMBER((Datos!P18-Datos!Q18)/(Datos!R18-Datos!P18+Datos!Q18)),(Datos!P18-Datos!Q18)/(Datos!R18-Datos!P18+Datos!Q18)," - ")</f>
        <v>0.19343696027633853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2295</v>
      </c>
      <c r="G19" s="820">
        <f t="shared" si="6"/>
        <v>2244</v>
      </c>
      <c r="H19" s="822">
        <f t="shared" si="6"/>
        <v>0</v>
      </c>
      <c r="I19" s="820">
        <f t="shared" si="6"/>
        <v>0</v>
      </c>
      <c r="J19" s="822">
        <f t="shared" si="6"/>
        <v>0</v>
      </c>
      <c r="K19" s="822">
        <f t="shared" si="6"/>
        <v>0</v>
      </c>
      <c r="L19" s="881">
        <f t="shared" si="6"/>
        <v>0</v>
      </c>
      <c r="M19" s="881">
        <f t="shared" si="6"/>
        <v>0</v>
      </c>
      <c r="N19" s="881">
        <f t="shared" si="6"/>
        <v>699</v>
      </c>
      <c r="O19" s="881">
        <f t="shared" si="6"/>
        <v>0</v>
      </c>
      <c r="P19" s="881">
        <f t="shared" si="6"/>
        <v>0</v>
      </c>
      <c r="Q19" s="822">
        <f t="shared" si="6"/>
        <v>2446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9575</v>
      </c>
      <c r="AC19" s="821">
        <f t="shared" si="7"/>
        <v>2160</v>
      </c>
      <c r="AD19" s="821">
        <f t="shared" si="7"/>
        <v>0</v>
      </c>
      <c r="AE19" s="821">
        <f t="shared" si="7"/>
        <v>0</v>
      </c>
      <c r="AF19" s="828">
        <f t="shared" si="7"/>
        <v>2943</v>
      </c>
      <c r="AG19" s="828">
        <f t="shared" si="7"/>
        <v>0</v>
      </c>
      <c r="AH19" s="828">
        <f t="shared" si="7"/>
        <v>148</v>
      </c>
      <c r="AI19" s="828">
        <f t="shared" si="7"/>
        <v>0</v>
      </c>
      <c r="AJ19" s="821">
        <f t="shared" si="7"/>
        <v>0</v>
      </c>
      <c r="AK19" s="828">
        <f t="shared" si="7"/>
        <v>0</v>
      </c>
      <c r="AL19" s="828">
        <f t="shared" si="7"/>
        <v>0</v>
      </c>
      <c r="AM19" s="828">
        <f t="shared" si="7"/>
        <v>7417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2815</v>
      </c>
      <c r="BD19" s="820">
        <f t="shared" si="7"/>
        <v>10677</v>
      </c>
      <c r="BE19" s="820">
        <f t="shared" si="7"/>
        <v>0</v>
      </c>
      <c r="BF19" s="830">
        <f t="shared" si="7"/>
        <v>0</v>
      </c>
      <c r="BG19" s="915">
        <f>IF(ISNUMBER(Datos!K19/Datos!J19),Datos!K19/Datos!J19," - ")</f>
        <v>0.91849868712351335</v>
      </c>
      <c r="BH19" s="915">
        <f>IF(ISNUMBER(((Datos!L19/Datos!K19)*11)/factor_trimestre),((Datos!L19/Datos!K19)*11)/factor_trimestre," - ")</f>
        <v>4.935818385650224</v>
      </c>
      <c r="BI19" s="813">
        <f>IF(ISNUMBER(Datos!J19/Datos!I19),Datos!J19/Datos!I19," - ")</f>
        <v>3.0708300395256916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-4.1721132897603486</v>
      </c>
      <c r="BM19" s="889">
        <f>IF(ISNUMBER((Datos!P19-Datos!Q19+R19)/(Datos!R19-Datos!P19+Datos!Q19-R19)),(Datos!P19-Datos!Q19+R19)/(Datos!R19-Datos!P19+Datos!Q19-R19)," - ")</f>
        <v>4.0106576917683358E-2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897.6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1284.6043489469173</v>
      </c>
      <c r="G21" s="552">
        <f>IF(ISNUMBER(STDEV(G8:G18)),STDEV(G8:G18),"-")</f>
        <v>1136.8297146010918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4781.8385062651378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710.96910387629828</v>
      </c>
      <c r="BD21" s="551"/>
      <c r="BE21" s="551">
        <f>IF(ISNUMBER(STDEV(BE8:BE18)),STDEV(BE8:BE18),"-")</f>
        <v>0</v>
      </c>
      <c r="BF21" s="556">
        <f>IF(ISNUMBER(STDEV(BF8:BF18)),STDEV(BF8:BF18),"-")</f>
        <v>0</v>
      </c>
      <c r="BG21" s="775">
        <f>IF(ISNUMBER(STDEV(BG8:BG18)),STDEV(BG8:BG18),"-")</f>
        <v>4.7285941469400218E-2</v>
      </c>
      <c r="BH21" s="776">
        <f>IF(ISNUMBER(STDEV(BH8:BH18)),STDEV(BH8:BH18),"-")</f>
        <v>1.9383840086022086</v>
      </c>
      <c r="BI21" s="249">
        <f>IF(ISNUMBER(STDEV(BI8:BI18)),STDEV(BI8:BI18),"-")</f>
        <v>6.5008730305897877E-2</v>
      </c>
      <c r="BJ21" s="230" t="str">
        <f>IF(ISNUMBER(BL21/BM21),BL21/BM21," - ")</f>
        <v xml:space="preserve"> - </v>
      </c>
      <c r="BK21" s="575"/>
      <c r="BL21" s="559">
        <f>IF(ISNUMBER(STDEV(BL8:BL18)),STDEV(BL8:BL18),"-")</f>
        <v>1.0468040970536623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QF89Gho5LRnA/lJ9PByiChiRPDTR0lbf8+xplez3F8Z2updNyRJUsY9Y26ff6ON6dYj6Dh2r9Ok3s2Oku74Ig==" saltValue="jXh8BAOOWdoR0YZ6A4E4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ALCORCON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35</v>
      </c>
      <c r="G10" s="225">
        <f>IF(ISNUMBER(Datos!I10),Datos!I10," - ")</f>
        <v>35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95</v>
      </c>
      <c r="Z10" s="619">
        <f>IF(ISNUMBER(Datos!Q10),Datos!Q10," - ")</f>
        <v>20</v>
      </c>
      <c r="AA10" s="332">
        <f>IF(ISNUMBER(Datos!L10),Datos!L10,"-")</f>
        <v>51</v>
      </c>
      <c r="AB10" s="334"/>
      <c r="AC10" s="334"/>
      <c r="AD10" s="484"/>
      <c r="AE10" s="484">
        <f>IF(ISNUMBER(Datos!R10),Datos!R10," - ")</f>
        <v>52</v>
      </c>
      <c r="AF10" s="229" t="str">
        <f>IF(ISNUMBER(Datos!BV10),Datos!BV10," - ")</f>
        <v xml:space="preserve"> - </v>
      </c>
      <c r="AG10" s="225" t="str">
        <f>IF(ISNUMBER(Datos!DV10),Datos!DV10," - ")</f>
        <v xml:space="preserve"> - </v>
      </c>
      <c r="AH10" s="298"/>
      <c r="AI10" s="227"/>
      <c r="AJ10" s="225">
        <f>IF(ISNUMBER(Datos!M10),Datos!M10," - ")</f>
        <v>27</v>
      </c>
      <c r="AK10" s="229">
        <f>IF(ISNUMBER(Datos!N10),Datos!N10," - ")</f>
        <v>29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5.905263157894737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-0.11864406779661017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1542</v>
      </c>
      <c r="AA12" s="332" t="str">
        <f>IF(ISNUMBER(IF(J_V="SI",Datos!L12,Datos!L12+Datos!AB12)-IF(Monitorios="SI",Datos!CD12,0)),
                          IF(J_V="SI",Datos!L12,Datos!L12+Datos!AB12)-IF(Monitorios="SI",Datos!CD12,0),
                          " - ")</f>
        <v xml:space="preserve"> - </v>
      </c>
      <c r="AB12" s="334"/>
      <c r="AC12" s="334"/>
      <c r="AD12" s="484"/>
      <c r="AE12" s="484">
        <f>IF(ISNUMBER(Datos!R12),Datos!R12," - ")</f>
        <v>6674</v>
      </c>
      <c r="AF12" s="229" t="str">
        <f>IF(ISNUMBER(Datos!BV12),Datos!BV12," - ")</f>
        <v xml:space="preserve"> - </v>
      </c>
      <c r="AG12" s="225" t="str">
        <f>IF(ISNUMBER(Datos!DV12),Datos!DV12," - ")</f>
        <v xml:space="preserve"> - </v>
      </c>
      <c r="AH12" s="298"/>
      <c r="AI12" s="227"/>
      <c r="AJ12" s="225">
        <f>IF(ISNUMBER(Datos!M12),Datos!M12," - ")</f>
        <v>1500</v>
      </c>
      <c r="AK12" s="229">
        <f>IF(ISNUMBER(Datos!N12),Datos!N12," - ")</f>
        <v>5121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6.3990620812862886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2.7876174341598645E-2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35</v>
      </c>
      <c r="G13" s="898">
        <f>SUBTOTAL(9,G8:G12)</f>
        <v>35</v>
      </c>
      <c r="H13" s="908"/>
      <c r="I13" s="898">
        <f t="shared" ref="I13:N13" si="0">SUBTOTAL(9,I8:I12)</f>
        <v>0</v>
      </c>
      <c r="J13" s="867">
        <f t="shared" si="0"/>
        <v>0</v>
      </c>
      <c r="K13" s="908">
        <f t="shared" si="0"/>
        <v>0</v>
      </c>
      <c r="L13" s="908">
        <f t="shared" si="0"/>
        <v>0</v>
      </c>
      <c r="M13" s="908">
        <f t="shared" si="0"/>
        <v>0</v>
      </c>
      <c r="N13" s="908">
        <f t="shared" si="0"/>
        <v>1736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95</v>
      </c>
      <c r="Z13" s="907">
        <f t="shared" si="2"/>
        <v>1562</v>
      </c>
      <c r="AA13" s="900">
        <f t="shared" si="2"/>
        <v>51</v>
      </c>
      <c r="AB13" s="900">
        <f t="shared" si="2"/>
        <v>0</v>
      </c>
      <c r="AC13" s="900">
        <f t="shared" si="2"/>
        <v>0</v>
      </c>
      <c r="AD13" s="900">
        <f t="shared" si="2"/>
        <v>0</v>
      </c>
      <c r="AE13" s="900">
        <f t="shared" si="2"/>
        <v>6726</v>
      </c>
      <c r="AF13" s="908">
        <f t="shared" si="2"/>
        <v>0</v>
      </c>
      <c r="AG13" s="908">
        <f t="shared" si="2"/>
        <v>0</v>
      </c>
      <c r="AH13" s="908">
        <f t="shared" si="2"/>
        <v>0</v>
      </c>
      <c r="AI13" s="908">
        <f t="shared" si="2"/>
        <v>0</v>
      </c>
      <c r="AJ13" s="908">
        <f t="shared" si="2"/>
        <v>1527</v>
      </c>
      <c r="AK13" s="908">
        <f t="shared" si="2"/>
        <v>5150</v>
      </c>
      <c r="AL13" s="908">
        <f t="shared" si="2"/>
        <v>0</v>
      </c>
      <c r="AM13" s="908">
        <f t="shared" si="2"/>
        <v>0</v>
      </c>
      <c r="AN13" s="908">
        <f t="shared" si="2"/>
        <v>0</v>
      </c>
      <c r="AO13" s="904">
        <f>IF(ISNUMBER(((NºAsuntos!I13/NºAsuntos!G13)*11)/factor_trimestre),((NºAsuntos!I13/NºAsuntos!G13)*11)/factor_trimestre," - ")</f>
        <v>6.3938791293779698</v>
      </c>
      <c r="AP13" s="910" t="str">
        <f>IF(ISNUMBER(Datos!CI13/Datos!CJ13),Datos!CI13/Datos!CJ13," - ")</f>
        <v xml:space="preserve"> - </v>
      </c>
      <c r="AQ13" s="928">
        <f t="shared" ref="AQ13:AV13" si="3">SUBTOTAL(9,AQ9:AQ12)</f>
        <v>0</v>
      </c>
      <c r="AR13" s="928">
        <f t="shared" si="3"/>
        <v>-9.0767893455011531E-2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2260</v>
      </c>
      <c r="G16" s="225">
        <f>IF(ISNUMBER(IF(D_I="SI",Datos!I16,Datos!I16+Datos!AC16)),IF(D_I="SI",Datos!I16,Datos!I16+Datos!AC16)," - ")</f>
        <v>2073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700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8612</v>
      </c>
      <c r="Z16" s="619">
        <f>IF(ISNUMBER(Datos!Q16),Datos!Q16," - ")</f>
        <v>592</v>
      </c>
      <c r="AA16" s="332">
        <f>IF(ISNUMBER(IF(D_I="SI",Datos!L16,Datos!L16+Datos!AF16)),IF(D_I="SI",Datos!L16,Datos!L16+Datos!AF16)," - ")</f>
        <v>2731</v>
      </c>
      <c r="AB16" s="334"/>
      <c r="AC16" s="334"/>
      <c r="AD16" s="484"/>
      <c r="AE16" s="484">
        <f>IF(ISNUMBER(Datos!R16),Datos!R16," - ")</f>
        <v>683</v>
      </c>
      <c r="AF16" s="229" t="str">
        <f>IF(ISNUMBER(Datos!BV16),Datos!BV16," - ")</f>
        <v xml:space="preserve"> - </v>
      </c>
      <c r="AG16" s="225"/>
      <c r="AH16" s="298"/>
      <c r="AI16" s="227"/>
      <c r="AJ16" s="225">
        <f>IF(ISNUMBER(Datos!M16),Datos!M16," - ")</f>
        <v>1252</v>
      </c>
      <c r="AK16" s="229">
        <f>IF(ISNUMBER(Datos!N16),Datos!N16," - ")</f>
        <v>5143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3.4882721783557828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868</v>
      </c>
      <c r="Z17" s="619">
        <f>IF(ISNUMBER(Datos!Q17),Datos!Q17," - ")</f>
        <v>6</v>
      </c>
      <c r="AA17" s="332">
        <f>IF(ISNUMBER(Datos!L17),Datos!L17,"-")</f>
        <v>161</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36</v>
      </c>
      <c r="AK17" s="229">
        <f>IF(ISNUMBER(Datos!N17),Datos!N17," - ")</f>
        <v>384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2.0403225806451615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2260</v>
      </c>
      <c r="G18" s="898">
        <f>SUBTOTAL(9,G15:G17)</f>
        <v>2209</v>
      </c>
      <c r="H18" s="932">
        <f>SUBTOTAL(9,H15:H17)</f>
        <v>0</v>
      </c>
      <c r="I18" s="911">
        <f>SUBTOTAL(9,I15:I17)</f>
        <v>0</v>
      </c>
      <c r="J18" s="867">
        <f>SUBTOTAL(9,J14:J17)</f>
        <v>0</v>
      </c>
      <c r="K18" s="932">
        <f t="shared" ref="K18:S18" si="4">SUBTOTAL(9,K15:K17)</f>
        <v>0</v>
      </c>
      <c r="L18" s="932">
        <f t="shared" si="4"/>
        <v>0</v>
      </c>
      <c r="M18" s="932">
        <f t="shared" si="4"/>
        <v>0</v>
      </c>
      <c r="N18" s="932">
        <f t="shared" si="4"/>
        <v>710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9480</v>
      </c>
      <c r="Z18" s="932">
        <f t="shared" si="5"/>
        <v>598</v>
      </c>
      <c r="AA18" s="932">
        <f t="shared" si="5"/>
        <v>2892</v>
      </c>
      <c r="AB18" s="932">
        <f t="shared" si="5"/>
        <v>0</v>
      </c>
      <c r="AC18" s="932">
        <f t="shared" si="5"/>
        <v>0</v>
      </c>
      <c r="AD18" s="932">
        <f t="shared" si="5"/>
        <v>0</v>
      </c>
      <c r="AE18" s="932">
        <f t="shared" si="5"/>
        <v>691</v>
      </c>
      <c r="AF18" s="932">
        <f t="shared" si="5"/>
        <v>0</v>
      </c>
      <c r="AG18" s="932">
        <f t="shared" si="5"/>
        <v>0</v>
      </c>
      <c r="AH18" s="932">
        <f t="shared" si="5"/>
        <v>0</v>
      </c>
      <c r="AI18" s="932">
        <f t="shared" si="5"/>
        <v>0</v>
      </c>
      <c r="AJ18" s="932">
        <f t="shared" si="5"/>
        <v>1288</v>
      </c>
      <c r="AK18" s="932">
        <f t="shared" si="5"/>
        <v>5527</v>
      </c>
      <c r="AL18" s="932">
        <f t="shared" si="5"/>
        <v>0</v>
      </c>
      <c r="AM18" s="932">
        <f t="shared" si="5"/>
        <v>0</v>
      </c>
      <c r="AN18" s="932">
        <f t="shared" si="5"/>
        <v>0</v>
      </c>
      <c r="AO18" s="934">
        <f>IF(ISNUMBER(((NºAsuntos!I18/NºAsuntos!G18)*11)/factor_trimestre),((NºAsuntos!I18/NºAsuntos!G18)*11)/factor_trimestre," - ")</f>
        <v>3.3556962025316457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2295</v>
      </c>
      <c r="G19" s="820">
        <f t="shared" si="7"/>
        <v>2244</v>
      </c>
      <c r="H19" s="821">
        <f t="shared" si="7"/>
        <v>0</v>
      </c>
      <c r="I19" s="820">
        <f t="shared" si="7"/>
        <v>0</v>
      </c>
      <c r="J19" s="822">
        <f t="shared" si="7"/>
        <v>0</v>
      </c>
      <c r="K19" s="820">
        <f t="shared" si="7"/>
        <v>0</v>
      </c>
      <c r="L19" s="823">
        <f t="shared" si="7"/>
        <v>0</v>
      </c>
      <c r="M19" s="820">
        <f t="shared" si="7"/>
        <v>0</v>
      </c>
      <c r="N19" s="821">
        <f t="shared" si="7"/>
        <v>2446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9575</v>
      </c>
      <c r="Z19" s="827">
        <f t="shared" si="8"/>
        <v>2160</v>
      </c>
      <c r="AA19" s="828">
        <f t="shared" si="8"/>
        <v>2943</v>
      </c>
      <c r="AB19" s="828">
        <f t="shared" si="8"/>
        <v>0</v>
      </c>
      <c r="AC19" s="828">
        <f t="shared" si="8"/>
        <v>0</v>
      </c>
      <c r="AD19" s="829">
        <f t="shared" si="8"/>
        <v>0</v>
      </c>
      <c r="AE19" s="829">
        <f t="shared" si="8"/>
        <v>7417</v>
      </c>
      <c r="AF19" s="830">
        <f t="shared" si="8"/>
        <v>0</v>
      </c>
      <c r="AG19" s="831">
        <f t="shared" si="8"/>
        <v>0</v>
      </c>
      <c r="AH19" s="832">
        <f t="shared" si="8"/>
        <v>0</v>
      </c>
      <c r="AI19" s="830">
        <f t="shared" si="8"/>
        <v>0</v>
      </c>
      <c r="AJ19" s="820">
        <f t="shared" si="8"/>
        <v>2815</v>
      </c>
      <c r="AK19" s="820">
        <f t="shared" si="8"/>
        <v>10677</v>
      </c>
      <c r="AL19" s="820">
        <f t="shared" si="8"/>
        <v>0</v>
      </c>
      <c r="AM19" s="833">
        <f t="shared" si="8"/>
        <v>0</v>
      </c>
      <c r="AN19" s="823">
        <f>IF(ISNUMBER(Datos!K19/Datos!J19),Datos!K19/Datos!J19," - ")</f>
        <v>0.91849868712351335</v>
      </c>
      <c r="AO19" s="823">
        <f>IF(ISNUMBER(FIND("06",Criterios!A8,1)),(IF(ISNUMBER(((Datos!R19/Datos!Q19)*11)/factor_trimestre),((Datos!R19/Datos!Q19)*11)/factor_trimestre," - ")),(IF(ISNUMBER(((Datos!L19/Datos!K19)*11)/factor_trimestre),((Datos!L19/Datos!K19)*11)/factor_trimestre," - ")))</f>
        <v>4.935818385650224</v>
      </c>
      <c r="AP19" s="834" t="str">
        <f>IF(ISNUMBER(Datos!CI19/Datos!CJ19),Datos!CI19/Datos!CJ19," - ")</f>
        <v xml:space="preserve"> - </v>
      </c>
      <c r="AQ19" s="834">
        <f>IF(OR(ISNUMBER(FIND("01",Criterios!A8,1)),ISNUMBER(FIND("02",Criterios!A8,1)),ISNUMBER(FIND("03",Criterios!A8,1)),ISNUMBER(FIND("04",Criterios!A8,1))),(J19-Y19+K19)/(F19-K19),(I19-Y19+K19)/(F19-K19))</f>
        <v>-4.1721132897603486</v>
      </c>
      <c r="AR19" s="834">
        <f>IF(ISNUMBER((Datos!P19-Datos!Q19+O19)/(Datos!R19-Datos!P19+Datos!Q19-O19)),(Datos!P19-Datos!Q19+O19)/(Datos!R19-Datos!P19+Datos!Q19-O19)," - ")</f>
        <v>4.0106576917683358E-2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897.6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1284.6043489469173</v>
      </c>
      <c r="G21" s="552">
        <f>IF(ISNUMBER(STDEV(G8:G18)),STDEV(G8:G18),"-")</f>
        <v>1136.8297146010918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710.96910387629828</v>
      </c>
      <c r="AK21" s="252"/>
      <c r="AL21" s="252">
        <f>IF(ISNUMBER(STDEV(AL8:AL18)),STDEV(AL8:AL18),"-")</f>
        <v>0</v>
      </c>
      <c r="AM21" s="254">
        <f>IF(ISNUMBER(STDEV(AM8:AM18)),STDEV(AM8:AM18),"-")</f>
        <v>0</v>
      </c>
      <c r="AN21" s="539">
        <f>IF(ISNUMBER(STDEV(AN8:AN18)),STDEV(AN8:AN18),"-")</f>
        <v>0</v>
      </c>
      <c r="AO21" s="540">
        <f>IF(ISNUMBER(STDEV(AO8:AO18)),STDEV(AO8:AO18),"-")</f>
        <v>1.870532904097276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9lq7/T7pLfHCJ1zc6yDU8XzHaeMjDa0KmpMayC9dd0ifhAUrzpNd7W6gjGNmfU7F9+Qe2n2zT0JTyT+8KHtUdw==" saltValue="9YxQrA37pHLn3W7nIMMp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6vCRUJOz0ohClM1a3FrdVHf9O7b0/YsnxgpBxpuIVdPPntlx0m3G1hKUH/DOQzsBIB1bqJz+NeI4m2/GXWmvg==" saltValue="kOnTnBXIcHeT9YYSWrcg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r+gayF3bLT8IOFoUxeZQU5zC0oCkfFrmjkDBwp/ZGjEOwynTNQd6Oafxcj2fvuoN3BX9RI+DTY0kb4Y6iR77g==" saltValue="9A71eGLIihMisNnxWHrH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0.16871063970831951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0.11929643739607314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fd66Dz1XNKLN+HmDEZMNbfuz8ySlPBFWj1506Xu8pL1aUJ0Cl9d2MC68sdkNfW/SNLvO6DzWrEDXFs7cCPMmDw==" saltValue="OQbIfGU3HQTIiq/5TEfh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LyIr8my8Qv39pBJwrpEK80OXoi/Vt9AuaUwhw+9OFjMcsQYyx+cVb1BrgV4KDZ2O24d55aJ8zvJQc3BZorMjQ==" saltValue="nLM99nh96NTKiN+iEXxI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ALCORCON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35</v>
      </c>
      <c r="D10" s="404">
        <f>IF(ISNUMBER(C10/Datos!BH10),C10/Datos!BH10," - ")</f>
        <v>35</v>
      </c>
      <c r="E10" s="403">
        <f>IF(ISNUMBER(Datos!J10),Datos!J10," - ")</f>
        <v>111</v>
      </c>
      <c r="F10" s="404">
        <f>IF(ISNUMBER(E10/B10),E10/B10," - ")</f>
        <v>111</v>
      </c>
      <c r="G10" s="403">
        <f>IF(ISNUMBER(Datos!K10),Datos!K10," - ")</f>
        <v>95</v>
      </c>
      <c r="H10" s="404">
        <f>IF(ISNUMBER(G10/B10),G10/B10," - ")</f>
        <v>95</v>
      </c>
      <c r="I10" s="403">
        <f>IF(ISNUMBER(Datos!L10),Datos!L10," - ")</f>
        <v>51</v>
      </c>
      <c r="J10" s="404">
        <f>IF(ISNUMBER(I10/B10),I10/B10," - ")</f>
        <v>51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4219</v>
      </c>
      <c r="D12" s="404">
        <f>IF(ISNUMBER(C12/Datos!BH12),C12/Datos!BH12," - ")</f>
        <v>602.71428571428567</v>
      </c>
      <c r="E12" s="403">
        <f>IF(ISNUMBER(IF(J_V="SI",Datos!J12,Datos!J12+Datos!Z12)),IF(J_V="SI",Datos!J12,Datos!J12+Datos!Z12)," - ")</f>
        <v>10040</v>
      </c>
      <c r="F12" s="404">
        <f>IF(ISNUMBER(E12/B12),E12/B12," - ")</f>
        <v>1434.2857142857142</v>
      </c>
      <c r="G12" s="403">
        <f>IF(ISNUMBER(IF(J_V="SI",Datos!K12,Datos!K12+Datos!AA12)),IF(J_V="SI",Datos!K12,Datos!K12+Datos!AA12)," - ")</f>
        <v>8956</v>
      </c>
      <c r="H12" s="404">
        <f>IF(ISNUMBER(G12/B12),G12/B12," - ")</f>
        <v>1279.4285714285713</v>
      </c>
      <c r="I12" s="403">
        <f>IF(ISNUMBER(IF(J_V="SI",Datos!L12,Datos!L12+Datos!AB12)),IF(J_V="SI",Datos!L12,Datos!L12+Datos!AB12)," - ")</f>
        <v>5210</v>
      </c>
      <c r="J12" s="404">
        <f>IF(ISNUMBER(I12/B12),I12/B12," - ")</f>
        <v>744.28571428571433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4254</v>
      </c>
      <c r="D13" s="850" t="str">
        <f>IF(ISNUMBER(C13/Datos!BI13),C13/Datos!BI13," - ")</f>
        <v xml:space="preserve"> - </v>
      </c>
      <c r="E13" s="849">
        <f>SUBTOTAL(9,E8:E12)</f>
        <v>10151</v>
      </c>
      <c r="F13" s="850">
        <f>IF(ISNUMBER(E13/B13),E13/B13," - ")</f>
        <v>1268.875</v>
      </c>
      <c r="G13" s="849">
        <f>SUBTOTAL(9,G8:G12)</f>
        <v>9051</v>
      </c>
      <c r="H13" s="850">
        <f>IF(ISNUMBER(G13/B13),G13/B13," - ")</f>
        <v>1131.375</v>
      </c>
      <c r="I13" s="849">
        <f>SUBTOTAL(9,I8:I12)</f>
        <v>5261</v>
      </c>
      <c r="J13" s="850">
        <f>IF(ISNUMBER(I13/B13),I13/B13," - ")</f>
        <v>657.625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2073</v>
      </c>
      <c r="D16" s="404">
        <f>IF(ISNUMBER(C16/Datos!BH16),C16/Datos!BH16," - ")</f>
        <v>296.14285714285717</v>
      </c>
      <c r="E16" s="403">
        <f>IF(ISNUMBER(IF(D_I="SI",Datos!J16,Datos!J16+Datos!AD16)),IF(D_I="SI",Datos!J16,Datos!J16+Datos!AD16)," - ")</f>
        <v>9083</v>
      </c>
      <c r="F16" s="404">
        <f>IF(ISNUMBER(E16/B16),E16/B16," - ")</f>
        <v>1297.5714285714287</v>
      </c>
      <c r="G16" s="403">
        <f>IF(ISNUMBER(IF(D_I="SI",Datos!K16,Datos!K16+Datos!AE16)),IF(D_I="SI",Datos!K16,Datos!K16+Datos!AE16)," - ")</f>
        <v>8612</v>
      </c>
      <c r="H16" s="404">
        <f>IF(ISNUMBER(G16/B16),G16/B16," - ")</f>
        <v>1230.2857142857142</v>
      </c>
      <c r="I16" s="403">
        <f>IF(ISNUMBER(IF(D_I="SI",Datos!L16,Datos!L16+Datos!AF16)),IF(D_I="SI",Datos!L16,Datos!L16+Datos!AF16)," - ")</f>
        <v>2731</v>
      </c>
      <c r="J16" s="404">
        <f>IF(ISNUMBER(I16/B16),I16/B16," - ")</f>
        <v>390.14285714285717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136</v>
      </c>
      <c r="D17" s="404">
        <f>IF(ISNUMBER(C17/Datos!BH17),C17/Datos!BH17," - ")</f>
        <v>136</v>
      </c>
      <c r="E17" s="403">
        <f>IF(ISNUMBER(IF(D_I="SI",Datos!J17,Datos!J17+Datos!AD17)),IF(D_I="SI",Datos!J17,Datos!J17+Datos!AD17)," - ")</f>
        <v>888</v>
      </c>
      <c r="F17" s="404">
        <f>IF(ISNUMBER(E17/B17),E17/B17," - ")</f>
        <v>888</v>
      </c>
      <c r="G17" s="403">
        <f>IF(ISNUMBER(IF(D_I="SI",Datos!K17,Datos!K17+Datos!AE17)),IF(D_I="SI",Datos!K17,Datos!K17+Datos!AE17)," - ")</f>
        <v>868</v>
      </c>
      <c r="H17" s="404">
        <f>IF(ISNUMBER(G17/B17),G17/B17," - ")</f>
        <v>868</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2209</v>
      </c>
      <c r="D18" s="850" t="str">
        <f>IF(ISNUMBER(C18/Datos!BI18),C18/Datos!BI18," - ")</f>
        <v xml:space="preserve"> - </v>
      </c>
      <c r="E18" s="849">
        <f>SUBTOTAL(9,E14:E17)</f>
        <v>9971</v>
      </c>
      <c r="F18" s="850">
        <f>IF(ISNUMBER(E18/B18),E18/B18," - ")</f>
        <v>1246.375</v>
      </c>
      <c r="G18" s="849">
        <f>SUBTOTAL(9,G14:G17)</f>
        <v>9480</v>
      </c>
      <c r="H18" s="850">
        <f>IF(ISNUMBER(G18/B18),G18/B18," - ")</f>
        <v>1185</v>
      </c>
      <c r="I18" s="849">
        <f>SUBTOTAL(9,I14:I17)</f>
        <v>2892</v>
      </c>
      <c r="J18" s="850">
        <f>IF(ISNUMBER(I18/B18),I18/B18," - ")</f>
        <v>361.5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6463</v>
      </c>
      <c r="D19" s="795" t="str">
        <f>IF(ISNUMBER(C19/Datos!BI19),C19/Datos!BI19," - ")</f>
        <v xml:space="preserve"> - </v>
      </c>
      <c r="E19" s="794">
        <f>SUBTOTAL(9,E9:E18)</f>
        <v>20122</v>
      </c>
      <c r="F19" s="795">
        <f>IF(ISNUMBER(E19/B19),E19/B19," - ")</f>
        <v>2515.25</v>
      </c>
      <c r="G19" s="794">
        <f>SUBTOTAL(9,G9:G18)</f>
        <v>18531</v>
      </c>
      <c r="H19" s="795">
        <f>IF(ISNUMBER(G19/B19),G19/B19," - ")</f>
        <v>2316.375</v>
      </c>
      <c r="I19" s="794">
        <f>SUBTOTAL(9,I9:I18)</f>
        <v>8153</v>
      </c>
      <c r="J19" s="795">
        <f>IF(ISNUMBER(I19/B19),I19/B19," - ")</f>
        <v>1019.125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sQRtpNlSvO0aXUObmBOe78PtEfccAHcxr2BgFAV2K6+bA1lpFj7AQKsRnt98bm/WI96pYtb5SHAieXNZgQgZQ==" saltValue="Z344EcESWK/oPYbXMD62k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ALCORCON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35</v>
      </c>
      <c r="G10" s="684">
        <f>IF(ISNUMBER(Datos!I10),Datos!I10," - ")</f>
        <v>35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95</v>
      </c>
      <c r="AC10" s="683" t="str">
        <f>IF(ISNUMBER(IF(D_I="SI",DatosP!K17,DatosP!K17+DatosP!AE17)),IF(D_I="SI",DatosP!K17,DatosP!K17+DatosP!AE17)," - ")</f>
        <v xml:space="preserve"> - </v>
      </c>
      <c r="AD10" s="685"/>
      <c r="AE10" s="685"/>
      <c r="AF10" s="688">
        <f>IF(ISNUMBER(Datos!L10),Datos!L10,"-")</f>
        <v>51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29</v>
      </c>
      <c r="AN10" s="690">
        <f>IF(ISNUMBER(Datos!BW10+DatosP!BW17),Datos!BW10+DatosP!BW17," - ")</f>
        <v>0</v>
      </c>
      <c r="AO10" s="691">
        <f>IF(ISNUMBER(Datos!BX10+DatosP!BX17),Datos!BX10+DatosP!BX17," - ")</f>
        <v>0</v>
      </c>
      <c r="AP10" s="693">
        <f>IF(ISNUMBER(((Datos!L10/Datos!K10)*11)/factor_trimestre),((Datos!L10/Datos!K10)*11)/factor_trimestre," - ")</f>
        <v>5.905263157894737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6674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1500</v>
      </c>
      <c r="AM12" s="690">
        <f>IF(ISNUMBER(Datos!N12+DatosP!N16),Datos!N12+DatosP!N16," - ")</f>
        <v>5121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6.3990620812862886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2.7876174341598645E-2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35</v>
      </c>
      <c r="G13" s="938">
        <f t="shared" si="0"/>
        <v>35</v>
      </c>
      <c r="H13" s="938">
        <f t="shared" si="0"/>
        <v>0</v>
      </c>
      <c r="I13" s="940">
        <f t="shared" si="0"/>
        <v>0</v>
      </c>
      <c r="J13" s="939">
        <f t="shared" si="0"/>
        <v>0</v>
      </c>
      <c r="K13" s="939">
        <f t="shared" si="0"/>
        <v>0</v>
      </c>
      <c r="L13" s="941">
        <f t="shared" si="0"/>
        <v>0</v>
      </c>
      <c r="M13" s="941">
        <f t="shared" si="0"/>
        <v>0</v>
      </c>
      <c r="N13" s="939">
        <f t="shared" si="0"/>
        <v>1736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95</v>
      </c>
      <c r="AC13" s="939">
        <f t="shared" si="1"/>
        <v>0</v>
      </c>
      <c r="AD13" s="939">
        <f t="shared" si="1"/>
        <v>1542</v>
      </c>
      <c r="AE13" s="939">
        <f t="shared" si="1"/>
        <v>0</v>
      </c>
      <c r="AF13" s="939">
        <f t="shared" si="1"/>
        <v>51</v>
      </c>
      <c r="AG13" s="939">
        <f t="shared" si="1"/>
        <v>0</v>
      </c>
      <c r="AH13" s="939">
        <f t="shared" si="1"/>
        <v>6674</v>
      </c>
      <c r="AI13" s="939">
        <f t="shared" si="1"/>
        <v>0</v>
      </c>
      <c r="AJ13" s="939">
        <f t="shared" si="1"/>
        <v>0</v>
      </c>
      <c r="AK13" s="939">
        <f t="shared" si="1"/>
        <v>0</v>
      </c>
      <c r="AL13" s="939">
        <f t="shared" si="1"/>
        <v>1527</v>
      </c>
      <c r="AM13" s="939">
        <f t="shared" si="1"/>
        <v>5150</v>
      </c>
      <c r="AN13" s="939">
        <f t="shared" si="1"/>
        <v>0</v>
      </c>
      <c r="AO13" s="939">
        <f t="shared" si="1"/>
        <v>0</v>
      </c>
      <c r="AP13" s="944">
        <f>IF(ISNUMBER(((Datos!L13/Datos!K13)*11)/factor_trimestre),((Datos!L13/Datos!K13)*11)/factor_trimestre," - ")</f>
        <v>6.7276315789473689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-2.7142857142857144</v>
      </c>
      <c r="AU13" s="939" t="str">
        <f>IF(ISNUMBER((DatosP!#REF!-DatosP!#REF!+DatosP!#REF!)/(DatosP!#REF!+DatosP!#REF!-DatosP!#REF!-DatosP!#REF!)),(DatosP!#REF!-DatosP!#REF!+DatosP!#REF!)/(DatosP!#REF!+DatosP!#REF!-DatosP!#REF!-DatosP!#REF!)," - ")</f>
        <v xml:space="preserve"> - </v>
      </c>
      <c r="AV13" s="945">
        <f>SUBTOTAL(9,AV9:AV12)</f>
        <v>2.7876174341598645E-2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3.3556962025316457</v>
      </c>
      <c r="AQ18" s="944">
        <f>IF(ISNUMBER(((Datos!M18/Datos!L18)*11)/factor_trimestre),((Datos!M18/Datos!L18)*11)/factor_trimestre," - ")</f>
        <v>4.8990318118948828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0.19343696027633853</v>
      </c>
      <c r="AW18" s="946">
        <f>IF(ISNUMBER((Datos!Q18-Datos!R18)/(Datos!S18-Datos!Q18+Datos!R18)),(Datos!Q18-Datos!R18)/(Datos!S18-Datos!Q18+Datos!R18)," - ")</f>
        <v>-5.3726169844020795E-2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35</v>
      </c>
      <c r="G19" s="951">
        <f t="shared" si="4"/>
        <v>35</v>
      </c>
      <c r="H19" s="951">
        <f t="shared" si="4"/>
        <v>0</v>
      </c>
      <c r="I19" s="952">
        <f t="shared" si="4"/>
        <v>0</v>
      </c>
      <c r="J19" s="953">
        <f t="shared" si="4"/>
        <v>0</v>
      </c>
      <c r="K19" s="953">
        <f t="shared" si="4"/>
        <v>0</v>
      </c>
      <c r="L19" s="953">
        <f t="shared" si="4"/>
        <v>0</v>
      </c>
      <c r="M19" s="953">
        <f t="shared" si="4"/>
        <v>0</v>
      </c>
      <c r="N19" s="952">
        <f t="shared" si="4"/>
        <v>1736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95</v>
      </c>
      <c r="AC19" s="957">
        <f t="shared" si="5"/>
        <v>0</v>
      </c>
      <c r="AD19" s="957">
        <f t="shared" si="5"/>
        <v>1542</v>
      </c>
      <c r="AE19" s="957">
        <f t="shared" si="5"/>
        <v>0</v>
      </c>
      <c r="AF19" s="958">
        <f t="shared" si="5"/>
        <v>51</v>
      </c>
      <c r="AG19" s="958">
        <f t="shared" si="5"/>
        <v>0</v>
      </c>
      <c r="AH19" s="958">
        <f t="shared" si="5"/>
        <v>6674</v>
      </c>
      <c r="AI19" s="958">
        <f t="shared" si="5"/>
        <v>0</v>
      </c>
      <c r="AJ19" s="959">
        <f t="shared" si="5"/>
        <v>0</v>
      </c>
      <c r="AK19" s="959">
        <f t="shared" si="5"/>
        <v>0</v>
      </c>
      <c r="AL19" s="951">
        <f t="shared" si="5"/>
        <v>1527</v>
      </c>
      <c r="AM19" s="951">
        <f t="shared" si="5"/>
        <v>5150</v>
      </c>
      <c r="AN19" s="951">
        <f t="shared" si="5"/>
        <v>0</v>
      </c>
      <c r="AO19" s="951">
        <f t="shared" si="5"/>
        <v>0</v>
      </c>
      <c r="AP19" s="951">
        <f>IF(ISNUMBER(((Datos!L19/Datos!K19)*11)/factor_trimestre),((Datos!L19/Datos!K19)*11)/factor_trimestre," - ")</f>
        <v>4.935818385650224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-2.7142857142857144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4.0106576917683358E-2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20.207259421636902</v>
      </c>
      <c r="G21" s="737">
        <f>IF(ISNUMBER(STDEV(G8:G18)),STDEV(G8:G18),"-")</f>
        <v>20.207259421636902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54.848275573014448</v>
      </c>
      <c r="AC21" s="738">
        <f>IF(ISNUMBER(STDEV(AC8:AC18)),STDEV(AC8:AC18),"-")</f>
        <v>0</v>
      </c>
      <c r="AD21" s="741"/>
      <c r="AE21" s="741"/>
      <c r="AF21" s="741"/>
      <c r="AG21" s="741"/>
      <c r="AH21" s="741"/>
      <c r="AI21" s="741"/>
      <c r="AJ21" s="742">
        <f>IF(ISNUMBER(STDEV(AJ8:AJ18)),STDEV(AJ8:AJ18),"-")</f>
        <v>0</v>
      </c>
      <c r="AK21" s="744"/>
      <c r="AL21" s="736">
        <f>IF(ISNUMBER(STDEV(AL8:AL18)),STDEV(AL8:AL18),"-")</f>
        <v>866.16568853770696</v>
      </c>
      <c r="AM21" s="736"/>
      <c r="AN21" s="736">
        <f>IF(ISNUMBER(STDEV(AN8:AN18)),STDEV(AN8:AN18),"-")</f>
        <v>0</v>
      </c>
      <c r="AO21" s="742">
        <f>IF(ISNUMBER(STDEV(AO8:AO18)),STDEV(AO8:AO18),"-")</f>
        <v>0</v>
      </c>
      <c r="AP21" s="779">
        <f>IF(ISNUMBER(STDEV(AP8:AP18)),STDEV(AP8:AP18),"-")</f>
        <v>1.5318942746931472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NBKszSdRHZBD8xADcTINsBGZhZ3LrY764Ki4jG87nVOPUHn75bpe9/rXER13IcSKRbhj0++yqIPkb6N5sYE+TQ==" saltValue="wXLyQcomVkQBsPWe7QqM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ALCORCON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3TJ1POUwyTWbl9t9gv4e1mn+m6Xi+9h4gkNidQijF1rEzzzabo8Iyqusqrg/A3/QwyHbsqVRF9QnREPDh68yQ==" saltValue="XxGakiPnefeRjGTPZI4o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ALCORCON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27</v>
      </c>
      <c r="E10" s="404">
        <f>IF(ISNUMBER(D10/B10),D10/B10," - ")</f>
        <v>27</v>
      </c>
      <c r="F10" s="403">
        <f>IF(ISNUMBER(Datos!N10),Datos!N10," - ")</f>
        <v>29</v>
      </c>
      <c r="G10" s="404">
        <f>IF(ISNUMBER(F10/B10),F10/B10," - ")</f>
        <v>29</v>
      </c>
      <c r="H10" s="403">
        <f>IF(ISNUMBER(Datos!O10),Datos!O10," - ")</f>
        <v>13</v>
      </c>
      <c r="I10" s="404">
        <f t="shared" ref="I10:I12" si="2">IF(ISNUMBER(H10/B10),H10/B10," - ")</f>
        <v>13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1500</v>
      </c>
      <c r="E12" s="404">
        <f t="shared" si="0"/>
        <v>214.28571428571428</v>
      </c>
      <c r="F12" s="403">
        <f>IF(ISNUMBER(Datos!N12),Datos!N12," - ")</f>
        <v>5121</v>
      </c>
      <c r="G12" s="404">
        <f t="shared" si="1"/>
        <v>731.57142857142856</v>
      </c>
      <c r="H12" s="403">
        <f>IF(ISNUMBER(Datos!O12),Datos!O12," - ")</f>
        <v>2776</v>
      </c>
      <c r="I12" s="404">
        <f t="shared" si="2"/>
        <v>396.57142857142856</v>
      </c>
      <c r="BZ12" s="1186">
        <f>Datos!EZ12</f>
        <v>0</v>
      </c>
    </row>
    <row r="13" spans="1:78" ht="14.25" thickTop="1" thickBot="1">
      <c r="A13" s="848" t="str">
        <f>Datos!A13</f>
        <v>TOTAL</v>
      </c>
      <c r="B13" s="849">
        <f>Datos!AP13</f>
        <v>8</v>
      </c>
      <c r="C13" s="851">
        <f>Datos!AR13</f>
        <v>8</v>
      </c>
      <c r="D13" s="849">
        <f>SUBTOTAL(9,D9:D12)</f>
        <v>1527</v>
      </c>
      <c r="E13" s="850">
        <f t="shared" si="0"/>
        <v>190.875</v>
      </c>
      <c r="F13" s="849">
        <f>SUBTOTAL(9,F9:F12)</f>
        <v>5150</v>
      </c>
      <c r="G13" s="850">
        <f t="shared" si="1"/>
        <v>643.75</v>
      </c>
      <c r="H13" s="849">
        <f>SUBTOTAL(9,H9:H12)</f>
        <v>2789</v>
      </c>
      <c r="I13" s="850">
        <f>IF(ISNUMBER(H13/B13),H13/B13," - ")</f>
        <v>348.625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1252</v>
      </c>
      <c r="E16" s="404">
        <f t="shared" si="3"/>
        <v>178.85714285714286</v>
      </c>
      <c r="F16" s="403">
        <f>IF(ISNUMBER(Datos!N16),Datos!N16," - ")</f>
        <v>5143</v>
      </c>
      <c r="G16" s="404">
        <f t="shared" si="4"/>
        <v>734.71428571428567</v>
      </c>
      <c r="H16" s="403">
        <f>IF(ISNUMBER(Datos!O16),Datos!O16," - ")</f>
        <v>235</v>
      </c>
      <c r="I16" s="404">
        <f t="shared" si="5"/>
        <v>33.571428571428569</v>
      </c>
      <c r="BZ16" s="1186">
        <f>Datos!EZ16</f>
        <v>0</v>
      </c>
    </row>
    <row r="17" spans="1:78" ht="13.5" thickBot="1">
      <c r="A17" s="402" t="str">
        <f>Datos!A17</f>
        <v>Jdos. Violencia contra la mujer</v>
      </c>
      <c r="B17" s="427">
        <f>Datos!AO17</f>
        <v>1</v>
      </c>
      <c r="C17" s="428">
        <f>Datos!AQ17</f>
        <v>1</v>
      </c>
      <c r="D17" s="403">
        <f>IF(ISNUMBER(Datos!M17),Datos!M17," - ")</f>
        <v>36</v>
      </c>
      <c r="E17" s="404">
        <f>IF(ISNUMBER(D17/B17),D17/B17," - ")</f>
        <v>36</v>
      </c>
      <c r="F17" s="403">
        <f>IF(ISNUMBER(Datos!N17),Datos!N17," - ")</f>
        <v>384</v>
      </c>
      <c r="G17" s="404">
        <f>IF(ISNUMBER(F17/B17),F17/B17," - ")</f>
        <v>384</v>
      </c>
      <c r="H17" s="403">
        <f>IF(ISNUMBER(Datos!O17),Datos!O17," - ")</f>
        <v>3</v>
      </c>
      <c r="I17" s="404">
        <f t="shared" si="5"/>
        <v>3</v>
      </c>
      <c r="BZ17" s="1186">
        <f>Datos!EZ17</f>
        <v>0</v>
      </c>
    </row>
    <row r="18" spans="1:78" ht="14.25" thickTop="1" thickBot="1">
      <c r="A18" s="848" t="str">
        <f>Datos!A18</f>
        <v>TOTAL</v>
      </c>
      <c r="B18" s="849">
        <f>Datos!AP18</f>
        <v>8</v>
      </c>
      <c r="C18" s="851">
        <f>Datos!AR18</f>
        <v>8</v>
      </c>
      <c r="D18" s="849">
        <f>SUBTOTAL(9,D15:D17)</f>
        <v>1288</v>
      </c>
      <c r="E18" s="850">
        <f t="shared" si="3"/>
        <v>161</v>
      </c>
      <c r="F18" s="849">
        <f>SUBTOTAL(9,F15:F17)</f>
        <v>5527</v>
      </c>
      <c r="G18" s="850">
        <f t="shared" si="4"/>
        <v>690.875</v>
      </c>
      <c r="H18" s="849">
        <f>SUBTOTAL(9,H15:H17)</f>
        <v>238</v>
      </c>
      <c r="I18" s="850">
        <f>IF(ISNUMBER(H18/B18),H18/B18," - ")</f>
        <v>29.75</v>
      </c>
      <c r="BZ18" s="1186"/>
    </row>
    <row r="19" spans="1:78" ht="14.25" thickTop="1" thickBot="1">
      <c r="A19" s="793" t="str">
        <f>Datos!A19</f>
        <v>TOTAL JURISDICCIONES</v>
      </c>
      <c r="B19" s="794">
        <f>Datos!AP19</f>
        <v>8</v>
      </c>
      <c r="C19" s="794">
        <f>Datos!AR19</f>
        <v>8</v>
      </c>
      <c r="D19" s="794">
        <f>SUBTOTAL(9,D8:D18)</f>
        <v>2815</v>
      </c>
      <c r="E19" s="795">
        <f>IF(ISNUMBER(D19/B19),D19/B19," - ")</f>
        <v>351.875</v>
      </c>
      <c r="F19" s="794">
        <f>SUBTOTAL(9,F8:F18)</f>
        <v>10677</v>
      </c>
      <c r="G19" s="795">
        <f>IF(ISNUMBER(F19/B19),F19/B19," - ")</f>
        <v>1334.625</v>
      </c>
      <c r="H19" s="794">
        <f>SUBTOTAL(9,H8:H18)</f>
        <v>3027</v>
      </c>
      <c r="I19" s="795">
        <f>IF(ISNUMBER(H19/B19),H19/B19," - ")</f>
        <v>378.375</v>
      </c>
    </row>
    <row r="22" spans="1:78">
      <c r="A22" s="391" t="str">
        <f>Criterios!A4</f>
        <v>Fecha Informe: 28 feb. 2025</v>
      </c>
    </row>
    <row r="27" spans="1:78">
      <c r="A27" s="414"/>
    </row>
  </sheetData>
  <sheetProtection algorithmName="SHA-512" hashValue="s/K84k7frJxv2mQZvzDnuavCtEz8wPFTcKF98UCxmHmj6Ja6Xu+jlWhN7e7iaqWBMtcXnplxaa5Ay6GE5TAORA==" saltValue="fwLpihDrPwtjzUWVdVnK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ALCORCON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13</v>
      </c>
      <c r="C10" s="434">
        <f>IF(ISNUMBER(Datos!Q10),Datos!Q10," - ")</f>
        <v>20</v>
      </c>
      <c r="D10" s="408">
        <f>IF(ISNUMBER(Datos!R10),Datos!R10," - ")</f>
        <v>52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1723</v>
      </c>
      <c r="C12" s="434">
        <f>IF(ISNUMBER(Datos!Q12),Datos!Q12," - ")</f>
        <v>1542</v>
      </c>
      <c r="D12" s="408">
        <f>IF(ISNUMBER(Datos!R12),Datos!R12," - ")</f>
        <v>6674</v>
      </c>
    </row>
    <row r="13" spans="1:4" ht="14.25" thickTop="1" thickBot="1">
      <c r="A13" s="848" t="str">
        <f>Datos!A13</f>
        <v>TOTAL</v>
      </c>
      <c r="B13" s="849">
        <f>SUBTOTAL(9,B9:B12)</f>
        <v>1736</v>
      </c>
      <c r="C13" s="853">
        <f>SUBTOTAL(9,C9:C12)</f>
        <v>1562</v>
      </c>
      <c r="D13" s="851">
        <f>SUBTOTAL(9,D9:D12)</f>
        <v>6726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700</v>
      </c>
      <c r="C16" s="434">
        <f>IF(ISNUMBER(Datos!Q16),Datos!Q16," - ")</f>
        <v>592</v>
      </c>
      <c r="D16" s="408">
        <f>IF(ISNUMBER(Datos!R16),Datos!R16," - ")</f>
        <v>683</v>
      </c>
    </row>
    <row r="17" spans="1:4" ht="13.5" thickBot="1">
      <c r="A17" s="402" t="str">
        <f>Datos!A17</f>
        <v>Jdos. Violencia contra la mujer</v>
      </c>
      <c r="B17" s="433">
        <f>IF(ISNUMBER(Datos!P17),Datos!P17," - ")</f>
        <v>10</v>
      </c>
      <c r="C17" s="434">
        <f>IF(ISNUMBER(Datos!Q17),Datos!Q17," - ")</f>
        <v>6</v>
      </c>
      <c r="D17" s="408">
        <f>IF(ISNUMBER(Datos!R17),Datos!R17," - ")</f>
        <v>8</v>
      </c>
    </row>
    <row r="18" spans="1:4" ht="14.25" thickTop="1" thickBot="1">
      <c r="A18" s="848" t="str">
        <f>Datos!A18</f>
        <v>TOTAL</v>
      </c>
      <c r="B18" s="849">
        <f>SUBTOTAL(9,B15:B17)</f>
        <v>710</v>
      </c>
      <c r="C18" s="853">
        <f>SUBTOTAL(9,C15:C17)</f>
        <v>598</v>
      </c>
      <c r="D18" s="851">
        <f>SUBTOTAL(9,D15:D17)</f>
        <v>691</v>
      </c>
    </row>
    <row r="19" spans="1:4" ht="16.5" customHeight="1" thickTop="1" thickBot="1">
      <c r="A19" s="793" t="str">
        <f>Datos!A19</f>
        <v>TOTAL JURISDICCIONES</v>
      </c>
      <c r="B19" s="798">
        <f>SUBTOTAL(9,B8:B18)</f>
        <v>2446</v>
      </c>
      <c r="C19" s="799">
        <f>SUBTOTAL(9,C8:C18)</f>
        <v>2160</v>
      </c>
      <c r="D19" s="800">
        <f>SUBTOTAL(9,D8:D18)</f>
        <v>7417</v>
      </c>
    </row>
    <row r="20" spans="1:4" ht="7.5" customHeight="1"/>
    <row r="21" spans="1:4" ht="6" customHeight="1"/>
    <row r="22" spans="1:4">
      <c r="A22" s="391" t="str">
        <f>Criterios!A4</f>
        <v>Fecha Informe: 28 feb. 2025</v>
      </c>
    </row>
    <row r="27" spans="1:4">
      <c r="A27" s="414"/>
    </row>
  </sheetData>
  <sheetProtection algorithmName="SHA-512" hashValue="HxALMB5+dIIsQ9nL01gwg8Mp0/GVpUfu0N4LEqbrBzLnRhywzyCjSWL/m+K0d0mHMlbwolIffjhUwDJ0vUsxKw==" saltValue="s0BfR2izXZnLNBVRGEWV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ALCORCON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0.12121212121212122</v>
      </c>
      <c r="D10" s="456">
        <f>IF(ISNUMBER((Datos!K10-Datos!U10)/Datos!U10),(Datos!K10-Datos!U10)/Datos!U10," - ")</f>
        <v>-0.10377358490566038</v>
      </c>
      <c r="E10" s="456">
        <f>IF(ISNUMBER((Datos!L10-Datos!V10)/Datos!V10),(Datos!L10-Datos!V10)/Datos!V10," - ")</f>
        <v>0.45714285714285713</v>
      </c>
      <c r="F10" s="456">
        <f>IF(ISNUMBER((Datos!M10-Datos!W10)/Datos!W10),(Datos!M10-Datos!W10)/Datos!W10," - ")</f>
        <v>-0.50909090909090904</v>
      </c>
      <c r="G10" s="457">
        <f>IF(ISNUMBER((Datos!N10-Datos!X10)/Datos!X10),(Datos!N10-Datos!X10)/Datos!X10," - ")</f>
        <v>0.2608695652173913</v>
      </c>
      <c r="H10" s="455">
        <f>IF(ISNUMBER(((NºAsuntos!G10/NºAsuntos!E10)-Datos!BD10)/Datos!BD10),((NºAsuntos!G10/NºAsuntos!E10)-Datos!BD10)/Datos!BD10," - ")</f>
        <v>-0.20066292707802139</v>
      </c>
      <c r="I10" s="456">
        <f>IF(ISNUMBER(((NºAsuntos!I10/NºAsuntos!G10)-Datos!BE10)/Datos!BE10),((NºAsuntos!I10/NºAsuntos!G10)-Datos!BE10)/Datos!BE10," - ")</f>
        <v>0.62586466165413546</v>
      </c>
      <c r="J10" s="461">
        <f>IF(ISNUMBER((('Resol  Asuntos'!D10/NºAsuntos!G10)-Datos!BF10)/Datos!BF10),(('Resol  Asuntos'!D10/NºAsuntos!G10)-Datos!BF10)/Datos!BF10," - ")</f>
        <v>-0.45224880382775118</v>
      </c>
      <c r="K10" s="462">
        <f>IF(ISNUMBER((((NºAsuntos!C10+NºAsuntos!E10)/NºAsuntos!G10)-Datos!BG10)/Datos!BG10),(((NºAsuntos!C10+NºAsuntos!E10)/NºAsuntos!G10)-Datos!BG10)/Datos!BG10," - ")</f>
        <v>0.15535647629712568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0.34749281379750879</v>
      </c>
      <c r="C12" s="456">
        <f>IF(ISNUMBER(
   IF(J_V="SI",(Datos!J12-Datos!T12)/Datos!T12,(Datos!J12+Datos!Z12-(Datos!T12+Datos!AH12))/(Datos!T12+Datos!AH12))
     ),IF(J_V="SI",(Datos!J12-Datos!T12)/Datos!T12,(Datos!J12+Datos!Z12-(Datos!T12+Datos!AH12))/(Datos!T12+Datos!AH12))," - ")</f>
        <v>0.16812100058173357</v>
      </c>
      <c r="D12" s="456">
        <f>IF(ISNUMBER(
   IF(J_V="SI",(Datos!K12-Datos!U12)/Datos!U12,(Datos!K12+Datos!AA12-(Datos!U12+Datos!AI12))/(Datos!U12+Datos!AI12))
     ),IF(J_V="SI",(Datos!K12-Datos!U12)/Datos!U12,(Datos!K12+Datos!AA12-(Datos!U12+Datos!AI12))/(Datos!U12+Datos!AI12))," - ")</f>
        <v>0.18387309980171845</v>
      </c>
      <c r="E12" s="456">
        <f>IF(ISNUMBER(
   IF(J_V="SI",(Datos!L12-Datos!V12)/Datos!V12,(Datos!L12+Datos!AB12-(Datos!V12+Datos!AJ12))/(Datos!V12+Datos!AJ12))
     ),IF(J_V="SI",(Datos!L12-Datos!V12)/Datos!V12,(Datos!L12+Datos!AB12-(Datos!V12+Datos!AJ12))/(Datos!V12+Datos!AJ12))," - ")</f>
        <v>0.23488978430907798</v>
      </c>
      <c r="F12" s="456">
        <f>IF(ISNUMBER((Datos!M12-Datos!W12)/Datos!W12),(Datos!M12-Datos!W12)/Datos!W12," - ")</f>
        <v>0.1609907120743034</v>
      </c>
      <c r="G12" s="457">
        <f>IF(ISNUMBER((Datos!N12-Datos!X12)/Datos!X12),(Datos!N12-Datos!X12)/Datos!X12," - ")</f>
        <v>0.26475673005680417</v>
      </c>
      <c r="H12" s="455">
        <f>IF(ISNUMBER(((NºAsuntos!G12/NºAsuntos!E12)-Datos!BD12)/Datos!BD12),((NºAsuntos!G12/NºAsuntos!E12)-Datos!BD12)/Datos!BD12," - ")</f>
        <v>1.3484989322287842E-2</v>
      </c>
      <c r="I12" s="456">
        <f>IF(ISNUMBER(((NºAsuntos!I12/NºAsuntos!G12)-Datos!BE12)/Datos!BE12),((NºAsuntos!I12/NºAsuntos!G12)-Datos!BE12)/Datos!BE12," - ")</f>
        <v>4.3093034646960189E-2</v>
      </c>
      <c r="J12" s="461">
        <f>IF(ISNUMBER((('Resol  Asuntos'!D12/NºAsuntos!G12)-Datos!BF12)/Datos!BF12),(('Resol  Asuntos'!D12/NºAsuntos!G12)-Datos!BF12)/Datos!BF12," - ")</f>
        <v>-0.68707639147111577</v>
      </c>
      <c r="K12" s="462">
        <f>IF(ISNUMBER((((NºAsuntos!C12+NºAsuntos!E12)/NºAsuntos!G12)-Datos!BG12)/Datos!BG12),(((NºAsuntos!C12+NºAsuntos!E12)/NºAsuntos!G12)-Datos!BG12)/Datos!BG12," - ")</f>
        <v>2.7150369266024092E-2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0.34068704695871416</v>
      </c>
      <c r="C13" s="855">
        <f>IF(ISNUMBER(
   IF(J_V="SI",(Datos!J13-Datos!T13)/Datos!T13,(Datos!J13+Datos!Z13-(Datos!T13+Datos!AH13))/(Datos!T13+Datos!AH13))
     ),IF(J_V="SI",(Datos!J13-Datos!T13)/Datos!T13,(Datos!J13+Datos!Z13-(Datos!T13+Datos!AH13))/(Datos!T13+Datos!AH13))," - ")</f>
        <v>0.16758684149988498</v>
      </c>
      <c r="D13" s="855">
        <f>IF(ISNUMBER(
   IF(J_V="SI",(Datos!K13-Datos!U13)/Datos!U13,(Datos!K13+Datos!AA13-(Datos!U13+Datos!AI13))/(Datos!U13+Datos!AI13))
     ),IF(J_V="SI",(Datos!K13-Datos!U13)/Datos!U13,(Datos!K13+Datos!AA13-(Datos!U13+Datos!AI13))/(Datos!U13+Datos!AI13))," - ")</f>
        <v>0.17989831834180681</v>
      </c>
      <c r="E13" s="855">
        <f>IF(ISNUMBER(
   IF(J_V="SI",(Datos!L13-Datos!V13)/Datos!V13,(Datos!L13+Datos!AB13-(Datos!V13+Datos!AJ13))/(Datos!V13+Datos!AJ13))
     ),IF(J_V="SI",(Datos!L13-Datos!V13)/Datos!V13,(Datos!L13+Datos!AB13-(Datos!V13+Datos!AJ13))/(Datos!V13+Datos!AJ13))," - ")</f>
        <v>0.23671838269863657</v>
      </c>
      <c r="F13" s="856">
        <f>IF(ISNUMBER((Datos!M13-Datos!W13)/Datos!W13),(Datos!M13-Datos!W13)/Datos!W13," - ")</f>
        <v>0.133630289532294</v>
      </c>
      <c r="G13" s="857">
        <f>IF(ISNUMBER((Datos!N13-Datos!X13)/Datos!X13),(Datos!N13-Datos!X13)/Datos!X13," - ")</f>
        <v>0.26473477406679763</v>
      </c>
      <c r="H13" s="857">
        <f>IF(ISNUMBER(((NºAsuntos!G13/NºAsuntos!E13)-Datos!BD13)/Datos!BD13),((NºAsuntos!G13/NºAsuntos!E13)-Datos!BD13)/Datos!BD13," - ")</f>
        <v>1.0544377860670749E-2</v>
      </c>
      <c r="I13" s="857">
        <f>IF(ISNUMBER(((NºAsuntos!I13/NºAsuntos!G13)-Datos!BE13)/Datos!BE13),((NºAsuntos!I13/NºAsuntos!G13)-Datos!BE13)/Datos!BE13," - ")</f>
        <v>4.8156746622609749E-2</v>
      </c>
      <c r="J13" s="857">
        <f>IF(ISNUMBER((('Resol  Asuntos'!D13/NºAsuntos!G13)-Datos!BF13)/Datos!BF13),(('Resol  Asuntos'!D13/NºAsuntos!G13)-Datos!BF13)/Datos!BF13," - ")</f>
        <v>-0.68465416247501976</v>
      </c>
      <c r="K13" s="857">
        <f>IF(ISNUMBER((((NºAsuntos!C13+NºAsuntos!E13)/NºAsuntos!G13)-Datos!BG13)/Datos!BG13),(((NºAsuntos!C13+NºAsuntos!E13)/NºAsuntos!G13)-Datos!BG13)/Datos!BG13," - ")</f>
        <v>2.8792378147381368E-2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0.3629191321499014</v>
      </c>
      <c r="C16" s="456">
        <f>IF(ISNUMBER(
   IF(D_I="SI",(Datos!J16-Datos!T16)/Datos!T16,(Datos!J16+Datos!AD16-(Datos!T16+Datos!AL16))/(Datos!T16+Datos!AL16))
     ),IF(D_I="SI",(Datos!J16-Datos!T16)/Datos!T16,(Datos!J16+Datos!AD16-(Datos!T16+Datos!AL16))/(Datos!T16+Datos!AL16))," - ")</f>
        <v>8.1438266460292896E-2</v>
      </c>
      <c r="D16" s="456">
        <f>IF(ISNUMBER(
   IF(D_I="SI",(Datos!K16-Datos!U16)/Datos!U16,(Datos!K16+Datos!AE16-(Datos!U16+Datos!AM16))/(Datos!U16+Datos!AM16))
     ),IF(D_I="SI",(Datos!K16-Datos!U16)/Datos!U16,(Datos!K16+Datos!AE16-(Datos!U16+Datos!AM16))/(Datos!U16+Datos!AM16))," - ")</f>
        <v>4.5399368778829816E-2</v>
      </c>
      <c r="E16" s="456">
        <f>IF(ISNUMBER(
   IF(D_I="SI",(Datos!L16-Datos!V16)/Datos!V16,(Datos!L16+Datos!AF16-(Datos!V16+Datos!AN16))/(Datos!V16+Datos!AN16))
     ),IF(D_I="SI",(Datos!L16-Datos!V16)/Datos!V16,(Datos!L16+Datos!AF16-(Datos!V16+Datos!AN16))/(Datos!V16+Datos!AN16))," - ")</f>
        <v>0.31741437530149541</v>
      </c>
      <c r="F16" s="456">
        <f>IF(ISNUMBER((Datos!M16-Datos!W16)/Datos!W16),(Datos!M16-Datos!W16)/Datos!W16," - ")</f>
        <v>-3.9877300613496931E-2</v>
      </c>
      <c r="G16" s="457">
        <f>IF(ISNUMBER((Datos!N16-Datos!X16)/Datos!X16),(Datos!N16-Datos!X16)/Datos!X16," - ")</f>
        <v>5.4109448657511786E-2</v>
      </c>
      <c r="H16" s="455">
        <f>IF(ISNUMBER(((NºAsuntos!G16/NºAsuntos!E16)-Datos!BD16)/Datos!BD16),((NºAsuntos!G16/NºAsuntos!E16)-Datos!BD16)/Datos!BD16," - ")</f>
        <v>-3.3324969902742391E-2</v>
      </c>
      <c r="I16" s="456">
        <f>IF(ISNUMBER(((NºAsuntos!I16/NºAsuntos!G16)-Datos!BE16)/Datos!BE16),((NºAsuntos!I16/NºAsuntos!G16)-Datos!BE16)/Datos!BE16," - ")</f>
        <v>0.26020199996908028</v>
      </c>
      <c r="J16" s="461">
        <f>IF(ISNUMBER((('Resol  Asuntos'!D16/NºAsuntos!G16)-Datos!BF16)/Datos!BF16),(('Resol  Asuntos'!D16/NºAsuntos!G16)-Datos!BF16)/Datos!BF16," - ")</f>
        <v>-8.1573293364373814E-2</v>
      </c>
      <c r="K16" s="462">
        <f>IF(ISNUMBER((((NºAsuntos!C16+NºAsuntos!E16)/NºAsuntos!G16)-Datos!BG16)/Datos!BG16),(((NºAsuntos!C16+NºAsuntos!E16)/NºAsuntos!G16)-Datos!BG16)/Datos!BG16," - ")</f>
        <v>7.5758038296150951E-2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0.1623931623931624</v>
      </c>
      <c r="C17" s="456">
        <f>IF(ISNUMBER(
   IF(D_I="SI",(Datos!J17-Datos!T17)/Datos!T17,(Datos!J17+Datos!AD17-(Datos!T17+Datos!AL17))/(Datos!T17+Datos!AL17))
     ),IF(D_I="SI",(Datos!J17-Datos!T17)/Datos!T17,(Datos!J17+Datos!AD17-(Datos!T17+Datos!AL17))/(Datos!T17+Datos!AL17))," - ")</f>
        <v>2.7777777777777776E-2</v>
      </c>
      <c r="D17" s="456">
        <f>IF(ISNUMBER(
   IF(D_I="SI",(Datos!K17-Datos!U17)/Datos!U17,(Datos!K17+Datos!AE17-(Datos!U17+Datos!AM17))/(Datos!U17+Datos!AM17))
     ),IF(D_I="SI",(Datos!K17-Datos!U17)/Datos!U17,(Datos!K17+Datos!AE17-(Datos!U17+Datos!AM17))/(Datos!U17+Datos!AM17))," - ")</f>
        <v>1.2835472578763127E-2</v>
      </c>
      <c r="E17" s="456">
        <f>IF(ISNUMBER(
   IF(D_I="SI",(Datos!L17-Datos!V17)/Datos!V17,(Datos!L17+Datos!AF17-(Datos!V17+Datos!AN17))/(Datos!V17+Datos!AN17))
     ),IF(D_I="SI",(Datos!L17-Datos!V17)/Datos!V17,(Datos!L17+Datos!AF17-(Datos!V17+Datos!AN17))/(Datos!V17+Datos!AN17))," - ")</f>
        <v>0.18382352941176472</v>
      </c>
      <c r="F17" s="456">
        <f>IF(ISNUMBER((Datos!M17-Datos!W17)/Datos!W17),(Datos!M17-Datos!W17)/Datos!W17," - ")</f>
        <v>-0.14285714285714285</v>
      </c>
      <c r="G17" s="457">
        <f>IF(ISNUMBER((Datos!N17-Datos!X17)/Datos!X17),(Datos!N17-Datos!X17)/Datos!X17," - ")</f>
        <v>-7.9136690647482008E-2</v>
      </c>
      <c r="H17" s="455">
        <f>IF(ISNUMBER(((NºAsuntos!G17/NºAsuntos!E17)-Datos!BD17)/Datos!BD17),((NºAsuntos!G17/NºAsuntos!E17)-Datos!BD17)/Datos!BD17," - ")</f>
        <v>-1.4538459112554778E-2</v>
      </c>
      <c r="I17" s="456">
        <f>IF(ISNUMBER(((NºAsuntos!I17/NºAsuntos!G17)-Datos!BE17)/Datos!BE17),((NºAsuntos!I17/NºAsuntos!G17)-Datos!BE17)/Datos!BE17," - ")</f>
        <v>0.16882115749525611</v>
      </c>
      <c r="J17" s="461">
        <f>IF(ISNUMBER((('Resol  Asuntos'!D17/NºAsuntos!G17)-Datos!BF17)/Datos!BF17),(('Resol  Asuntos'!D17/NºAsuntos!G17)-Datos!BF17)/Datos!BF17," - ")</f>
        <v>-0.1537195523370638</v>
      </c>
      <c r="K17" s="462">
        <f>IF(ISNUMBER((((NºAsuntos!C17+NºAsuntos!E17)/NºAsuntos!G17)-Datos!BG17)/Datos!BG17),(((NºAsuntos!C17+NºAsuntos!E17)/NºAsuntos!G17)-Datos!BG17)/Datos!BG17," - ")</f>
        <v>3.0604527497099174E-2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0.34859584859584858</v>
      </c>
      <c r="C18" s="855">
        <f>IF(ISNUMBER(
   IF(Criterios!B14="SI",(Datos!J18-Datos!T18)/Datos!T18,(Datos!J18+Datos!AD18-(Datos!T18+Datos!AL18))/(Datos!T18+Datos!AL18))
     ),IF(Criterios!B14="SI",(Datos!J18-Datos!T18)/Datos!T18,(Datos!J18+Datos!AD18-(Datos!T18+Datos!AL18))/(Datos!T18+Datos!AL18))," - ")</f>
        <v>7.6433121019108277E-2</v>
      </c>
      <c r="D18" s="855">
        <f>IF(ISNUMBER(
   IF(Criterios!B14="SI",(Datos!K18-Datos!U18)/Datos!U18,(Datos!K18+Datos!AE18-(Datos!U18+Datos!AM18))/(Datos!U18+Datos!AM18))
     ),IF(Criterios!B14="SI",(Datos!K18-Datos!U18)/Datos!U18,(Datos!K18+Datos!AE18-(Datos!U18+Datos!AM18))/(Datos!U18+Datos!AM18))," - ")</f>
        <v>4.2330951072017592E-2</v>
      </c>
      <c r="E18" s="855">
        <f>IF(ISNUMBER(
   IF(Criterios!B14="SI",(Datos!L18-Datos!V18)/Datos!V18,(Datos!L18+Datos!AF18-(Datos!V18+Datos!AN18))/(Datos!V18+Datos!AN18))
     ),IF(Criterios!B14="SI",(Datos!L18-Datos!V18)/Datos!V18,(Datos!L18+Datos!AF18-(Datos!V18+Datos!AN18))/(Datos!V18+Datos!AN18))," - ")</f>
        <v>0.30918967858759622</v>
      </c>
      <c r="F18" s="856">
        <f>IF(ISNUMBER((Datos!M18-Datos!W18)/Datos!W18),(Datos!M18-Datos!W18)/Datos!W18," - ")</f>
        <v>-4.3090638930163447E-2</v>
      </c>
      <c r="G18" s="857">
        <f>IF(ISNUMBER((Datos!N18-Datos!X18)/Datos!X18),(Datos!N18-Datos!X18)/Datos!X18," - ")</f>
        <v>4.3617824773413895E-2</v>
      </c>
      <c r="H18" s="857">
        <f>IF(ISNUMBER(((NºAsuntos!G18/NºAsuntos!E18)-Datos!BD18)/Datos!BD18),((NºAsuntos!G18/NºAsuntos!E18)-Datos!BD18)/Datos!BD18," - ")</f>
        <v>-3.1680714092859448E-2</v>
      </c>
      <c r="I18" s="857">
        <f>IF(ISNUMBER(((NºAsuntos!I18/NºAsuntos!G18)-Datos!BE18)/Datos!BE18),((NºAsuntos!I18/NºAsuntos!G18)-Datos!BE18)/Datos!BE18," - ")</f>
        <v>0.25602111041710846</v>
      </c>
      <c r="J18" s="857">
        <f>IF(ISNUMBER((('Resol  Asuntos'!D18/NºAsuntos!G18)-Datos!BF18)/Datos!BF18),(('Resol  Asuntos'!D18/NºAsuntos!G18)-Datos!BF18)/Datos!BF18," - ")</f>
        <v>-8.1952464247872905E-2</v>
      </c>
      <c r="K18" s="857">
        <f>IF(ISNUMBER((((NºAsuntos!C18+NºAsuntos!E18)/NºAsuntos!G18)-Datos!BG18)/Datos!BG18),(((NºAsuntos!C18+NºAsuntos!E18)/NºAsuntos!G18)-Datos!BG18)/Datos!BG18," - ")</f>
        <v>7.1951940305093401E-2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0.3433797547287466</v>
      </c>
      <c r="C19" s="802">
        <f>IF(ISNUMBER(
   IF(J_V="SI",(Datos!J19-Datos!T19)/Datos!T19,(Datos!J19+Datos!Z19-(Datos!T19+Datos!AH19))/(Datos!T19+Datos!AH19))
     ),IF(J_V="SI",(Datos!J19-Datos!T19)/Datos!T19,(Datos!J19+Datos!Z19-(Datos!T19+Datos!AH19))/(Datos!T19+Datos!AH19))," - ")</f>
        <v>0.12056579606838559</v>
      </c>
      <c r="D19" s="802">
        <f>IF(ISNUMBER(
   IF(J_V="SI",(Datos!K19-Datos!U19)/Datos!U19,(Datos!K19+Datos!AA19-(Datos!U19+Datos!AI19))/(Datos!U19+Datos!AI19))
     ),IF(J_V="SI",(Datos!K19-Datos!U19)/Datos!U19,(Datos!K19+Datos!AA19-(Datos!U19+Datos!AI19))/(Datos!U19+Datos!AI19))," - ")</f>
        <v>0.10527257545031611</v>
      </c>
      <c r="E19" s="802">
        <f>IF(ISNUMBER(
   IF(J_V="SI",(Datos!L19-Datos!V19)/Datos!V19,(Datos!L19+Datos!AB19-(Datos!V19+Datos!AJ19))/(Datos!V19+Datos!AJ19))
     ),IF(J_V="SI",(Datos!L19-Datos!V19)/Datos!V19,(Datos!L19+Datos!AB19-(Datos!V19+Datos!AJ19))/(Datos!V19+Datos!AJ19))," - ")</f>
        <v>0.26148847284542781</v>
      </c>
      <c r="F19" s="803">
        <f>IF(ISNUMBER((Datos!M19-Datos!W19)/Datos!W19),(Datos!M19-Datos!W19)/Datos!W19," - ")</f>
        <v>4.5302636464909021E-2</v>
      </c>
      <c r="G19" s="804">
        <f>IF(ISNUMBER((Datos!N19-Datos!X19)/Datos!X19),(Datos!N19-Datos!X19)/Datos!X19," - ")</f>
        <v>0.13973099914602904</v>
      </c>
      <c r="H19" s="805">
        <f>IF(ISNUMBER((Tasas!B19-Datos!BD19)/Datos!BD19),(Tasas!B19-Datos!BD19)/Datos!BD19," - ")</f>
        <v>-1.3647766754729807E-2</v>
      </c>
      <c r="I19" s="806">
        <f>IF(ISNUMBER((Tasas!C19-Datos!BE19)/Datos!BE19),(Tasas!C19-Datos!BE19)/Datos!BE19," - ")</f>
        <v>0.14133698859891228</v>
      </c>
      <c r="J19" s="807">
        <f>IF(ISNUMBER((Tasas!D19-Datos!BF19)/Datos!BF19),(Tasas!D19-Datos!BF19)/Datos!BF19," - ")</f>
        <v>-0.53268200718953962</v>
      </c>
      <c r="K19" s="807">
        <f>IF(ISNUMBER((Tasas!E19-Datos!BG19)/Datos!BG19),(Tasas!E19-Datos!BG19)/Datos!BG19," - ")</f>
        <v>5.6434043040373714E-2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sRZyO0aQqSw4r2aa7xur309bWTxYjtHDsUz1x910wh2EH/wflMpZ+pb5Ta35PGT70q39iqec/s6RrJonSGVw==" saltValue="+PJ1RegASLRdjbHWFbVa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ALCORCON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0.85585585585585588</v>
      </c>
      <c r="C10" s="443">
        <f>IF(ISNUMBER(NºAsuntos!I10/NºAsuntos!G10),NºAsuntos!I10/NºAsuntos!G10," - ")</f>
        <v>0.5368421052631579</v>
      </c>
      <c r="D10" s="444">
        <f>IF(ISNUMBER('Resol  Asuntos'!D10/NºAsuntos!G10),'Resol  Asuntos'!D10/NºAsuntos!G10," - ")</f>
        <v>0.28421052631578947</v>
      </c>
      <c r="E10" s="445">
        <f>IF(ISNUMBER((NºAsuntos!C10+NºAsuntos!E10)/NºAsuntos!G10),(NºAsuntos!C10+NºAsuntos!E10)/NºAsuntos!G10," - ")</f>
        <v>1.5368421052631578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0.89203187250996019</v>
      </c>
      <c r="C12" s="443">
        <f>IF(ISNUMBER(NºAsuntos!I12/NºAsuntos!G12),NºAsuntos!I12/NºAsuntos!G12," - ")</f>
        <v>0.58173291648057168</v>
      </c>
      <c r="D12" s="444">
        <f>IF(ISNUMBER('Resol  Asuntos'!D12/NºAsuntos!G12),'Resol  Asuntos'!D12/NºAsuntos!G12," - ")</f>
        <v>0.16748548459133542</v>
      </c>
      <c r="E12" s="445">
        <f>IF(ISNUMBER((NºAsuntos!C12+NºAsuntos!E12)/NºAsuntos!G12),(NºAsuntos!C12+NºAsuntos!E12)/NºAsuntos!G12," - ")</f>
        <v>1.5921170165252345</v>
      </c>
      <c r="G12" s="463"/>
    </row>
    <row r="13" spans="1:7" ht="14.25" thickTop="1" thickBot="1">
      <c r="A13" s="848" t="str">
        <f>Datos!A13</f>
        <v>TOTAL</v>
      </c>
      <c r="B13" s="858">
        <f>IF(ISNUMBER(NºAsuntos!G13/NºAsuntos!E13),NºAsuntos!G13/NºAsuntos!E13," - ")</f>
        <v>0.89163629199093686</v>
      </c>
      <c r="C13" s="859">
        <f>IF(ISNUMBER(NºAsuntos!I13/NºAsuntos!G13),NºAsuntos!I13/NºAsuntos!G13," - ")</f>
        <v>0.58126173903436085</v>
      </c>
      <c r="D13" s="860">
        <f>IF(ISNUMBER('Resol  Asuntos'!D13/NºAsuntos!G13),'Resol  Asuntos'!D13/NºAsuntos!G13," - ")</f>
        <v>0.16871063970831951</v>
      </c>
      <c r="E13" s="861">
        <f>IF(ISNUMBER((NºAsuntos!C13+NºAsuntos!E13)/NºAsuntos!G13),(NºAsuntos!C13+NºAsuntos!E13)/NºAsuntos!G13," - ")</f>
        <v>1.5915368467572644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0.94814488605086422</v>
      </c>
      <c r="C16" s="443">
        <f>IF(ISNUMBER(NºAsuntos!I16/NºAsuntos!G16),NºAsuntos!I16/NºAsuntos!G16," - ")</f>
        <v>0.31711565257779845</v>
      </c>
      <c r="D16" s="444">
        <f>IF(ISNUMBER('Resol  Asuntos'!D16/NºAsuntos!G16),'Resol  Asuntos'!D16/NºAsuntos!G16," - ")</f>
        <v>0.14537854156990246</v>
      </c>
      <c r="E16" s="445">
        <f>IF(ISNUMBER((NºAsuntos!C16+NºAsuntos!E16)/NºAsuntos!G16),(NºAsuntos!C16+NºAsuntos!E16)/NºAsuntos!G16," - ")</f>
        <v>1.295401764979099</v>
      </c>
      <c r="G16" s="463"/>
    </row>
    <row r="17" spans="1:7" ht="13.5" thickBot="1">
      <c r="A17" s="402" t="str">
        <f>Datos!A17</f>
        <v>Jdos. Violencia contra la mujer</v>
      </c>
      <c r="B17" s="442">
        <f>IF(ISNUMBER(NºAsuntos!G17/NºAsuntos!E17),NºAsuntos!G17/NºAsuntos!E17," - ")</f>
        <v>0.97747747747747749</v>
      </c>
      <c r="C17" s="443">
        <f>IF(ISNUMBER(NºAsuntos!I17/NºAsuntos!G17),NºAsuntos!I17/NºAsuntos!G17," - ")</f>
        <v>0.18548387096774194</v>
      </c>
      <c r="D17" s="444">
        <f>IF(ISNUMBER('Resol  Asuntos'!D17/NºAsuntos!G17),'Resol  Asuntos'!D17/NºAsuntos!G17," - ")</f>
        <v>4.1474654377880185E-2</v>
      </c>
      <c r="E17" s="445">
        <f>IF(ISNUMBER((NºAsuntos!C17+NºAsuntos!E17)/NºAsuntos!G17),(NºAsuntos!C17+NºAsuntos!E17)/NºAsuntos!G17," - ")</f>
        <v>1.1797235023041475</v>
      </c>
      <c r="G17" s="463"/>
    </row>
    <row r="18" spans="1:7" ht="14.25" thickTop="1" thickBot="1">
      <c r="A18" s="848" t="str">
        <f>Datos!A18</f>
        <v>TOTAL</v>
      </c>
      <c r="B18" s="858">
        <f>IF(ISNUMBER(NºAsuntos!G18/NºAsuntos!E18),NºAsuntos!G18/NºAsuntos!E18," - ")</f>
        <v>0.95075719586801721</v>
      </c>
      <c r="C18" s="859">
        <f>IF(ISNUMBER(NºAsuntos!I18/NºAsuntos!G18),NºAsuntos!I18/NºAsuntos!G18," - ")</f>
        <v>0.30506329113924052</v>
      </c>
      <c r="D18" s="862">
        <f>IF(ISNUMBER('Resol  Asuntos'!D18/NºAsuntos!G18),'Resol  Asuntos'!D18/NºAsuntos!G18," - ")</f>
        <v>0.1358649789029536</v>
      </c>
      <c r="E18" s="861">
        <f>IF(ISNUMBER((NºAsuntos!C18+NºAsuntos!E18)/NºAsuntos!G18),(NºAsuntos!C18+NºAsuntos!E18)/NºAsuntos!G18," - ")</f>
        <v>1.2848101265822784</v>
      </c>
      <c r="G18" s="463"/>
    </row>
    <row r="19" spans="1:7" ht="15.75" customHeight="1" thickTop="1" thickBot="1">
      <c r="A19" s="793" t="str">
        <f>Datos!A19</f>
        <v>TOTAL JURISDICCIONES</v>
      </c>
      <c r="B19" s="808">
        <f>IF(ISNUMBER(NºAsuntos!G19/NºAsuntos!E19),NºAsuntos!G19/NºAsuntos!E19," - ")</f>
        <v>0.92093231289136268</v>
      </c>
      <c r="C19" s="809">
        <f>IF(ISNUMBER(NºAsuntos!I19/NºAsuntos!G19),NºAsuntos!I19/NºAsuntos!G19," - ")</f>
        <v>0.43996546327775082</v>
      </c>
      <c r="D19" s="810">
        <f>IF(ISNUMBER('Resol  Asuntos'!D19/NºAsuntos!G19),'Resol  Asuntos'!D19/NºAsuntos!G19," - ")</f>
        <v>0.15190761426798338</v>
      </c>
      <c r="E19" s="811">
        <f>IF(ISNUMBER((NºAsuntos!C19+NºAsuntos!E19)/NºAsuntos!G19),(NºAsuntos!C19+NºAsuntos!E19)/NºAsuntos!G19," - ")</f>
        <v>1.434623064054827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48tZUZhhI6jHH1v8vJ8OuE+Q3U5dPC9z5yWsfnjiiki2249dsP9BEGYmN3wPspuJmupgRmSYUQYPumOztxk4g==" saltValue="zx7mTo+x2apmAyXvZXU4b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ALCORCON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35</v>
      </c>
      <c r="G10" s="333">
        <f>IF(ISNUMBER(Datos!I10),Datos!I10," - ")</f>
        <v>35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95</v>
      </c>
      <c r="X10" s="226">
        <f>IF(ISNUMBER(Datos!Q10),Datos!Q10," - ")</f>
        <v>20</v>
      </c>
      <c r="Y10" s="334">
        <f t="shared" ref="Y10:Y12" si="0">SUM(W10:X10)</f>
        <v>115</v>
      </c>
      <c r="Z10" s="335" t="str">
        <f>IF(ISNUMBER(Datos!CC10),Datos!CC10," - ")</f>
        <v xml:space="preserve"> - </v>
      </c>
      <c r="AA10" s="332">
        <f>IF(ISNUMBER(Datos!L10),Datos!L10,"-")</f>
        <v>51</v>
      </c>
      <c r="AB10" s="334">
        <f>IF(ISNUMBER(Datos!R10),Datos!R10," - ")</f>
        <v>52</v>
      </c>
      <c r="AC10" s="334">
        <f t="shared" ref="AC10:AC12" si="1">IF(ISNUMBER(AA10+AB10),AA10+AB10," - ")</f>
        <v>103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0.85585585585585588</v>
      </c>
      <c r="AM10" s="260">
        <f>IF(ISNUMBER(((NºAsuntos!I10/NºAsuntos!G10)*11)/factor_trimestre),((NºAsuntos!I10/NºAsuntos!G10)*11)/factor_trimestre," - ")</f>
        <v>5.905263157894737</v>
      </c>
      <c r="AN10" s="244">
        <f>IF(ISNUMBER('Resol  Asuntos'!D10/NºAsuntos!G10),'Resol  Asuntos'!D10/NºAsuntos!G10," - ")</f>
        <v>0.28421052631578947</v>
      </c>
      <c r="AO10" s="245">
        <f>IF(ISNUMBER((NºAsuntos!C10+NºAsuntos!E10)/NºAsuntos!G10),(NºAsuntos!C10+NºAsuntos!E10)/NºAsuntos!G10," - ")</f>
        <v>1.5368421052631578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1542</v>
      </c>
      <c r="Y12" s="334">
        <f t="shared" si="0"/>
        <v>1542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6674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1500</v>
      </c>
      <c r="AJ12" s="229" t="str">
        <f>IF(ISNUMBER(Datos!BW12),Datos!BW12," - ")</f>
        <v xml:space="preserve"> - </v>
      </c>
      <c r="AK12" s="228" t="str">
        <f>IF(ISNUMBER(Datos!BX12),Datos!BX12," - ")</f>
        <v xml:space="preserve"> - </v>
      </c>
      <c r="AL12" s="243">
        <f>IF(ISNUMBER(NºAsuntos!G12/NºAsuntos!E12),NºAsuntos!G12/NºAsuntos!E12," - ")</f>
        <v>0.89203187250996019</v>
      </c>
      <c r="AM12" s="260">
        <f>IF(ISNUMBER(((NºAsuntos!I12/NºAsuntos!G12)*11)/factor_trimestre),((NºAsuntos!I12/NºAsuntos!G12)*11)/factor_trimestre," - ")</f>
        <v>6.3990620812862886</v>
      </c>
      <c r="AN12" s="244">
        <f>IF(ISNUMBER('Resol  Asuntos'!D12/NºAsuntos!G12),'Resol  Asuntos'!D12/NºAsuntos!G12," - ")</f>
        <v>0.16748548459133542</v>
      </c>
      <c r="AO12" s="245">
        <f>IF(ISNUMBER((NºAsuntos!C12+NºAsuntos!E12)/NºAsuntos!G12),(NºAsuntos!C12+NºAsuntos!E12)/NºAsuntos!G12," - ")</f>
        <v>1.5921170165252345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35</v>
      </c>
      <c r="G13" s="866">
        <f t="shared" si="3"/>
        <v>35</v>
      </c>
      <c r="H13" s="865">
        <f t="shared" si="3"/>
        <v>0</v>
      </c>
      <c r="I13" s="867">
        <f t="shared" si="3"/>
        <v>0</v>
      </c>
      <c r="J13" s="867">
        <f t="shared" si="3"/>
        <v>0</v>
      </c>
      <c r="K13" s="867">
        <f t="shared" si="3"/>
        <v>0</v>
      </c>
      <c r="L13" s="867">
        <f t="shared" si="3"/>
        <v>1736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95</v>
      </c>
      <c r="X13" s="867">
        <f t="shared" si="4"/>
        <v>1562</v>
      </c>
      <c r="Y13" s="868">
        <f t="shared" si="4"/>
        <v>1657</v>
      </c>
      <c r="Z13" s="868">
        <f t="shared" si="4"/>
        <v>0</v>
      </c>
      <c r="AA13" s="868">
        <f t="shared" si="4"/>
        <v>51</v>
      </c>
      <c r="AB13" s="868">
        <f t="shared" si="4"/>
        <v>6726</v>
      </c>
      <c r="AC13" s="868">
        <f t="shared" si="4"/>
        <v>103</v>
      </c>
      <c r="AD13" s="868">
        <f t="shared" si="4"/>
        <v>0</v>
      </c>
      <c r="AE13" s="872">
        <f t="shared" si="4"/>
        <v>0</v>
      </c>
      <c r="AF13" s="865">
        <f t="shared" si="4"/>
        <v>0</v>
      </c>
      <c r="AG13" s="873">
        <f t="shared" si="4"/>
        <v>0</v>
      </c>
      <c r="AH13" s="870">
        <f t="shared" si="4"/>
        <v>0</v>
      </c>
      <c r="AI13" s="865">
        <f t="shared" si="4"/>
        <v>1527</v>
      </c>
      <c r="AJ13" s="867">
        <f t="shared" si="4"/>
        <v>0</v>
      </c>
      <c r="AK13" s="870">
        <f>SUBTOTAL(9,AK9:AK12)</f>
        <v>0</v>
      </c>
      <c r="AL13" s="874">
        <f>IF(ISNUMBER(NºAsuntos!G13/NºAsuntos!E13),NºAsuntos!G13/NºAsuntos!E13," - ")</f>
        <v>0.89163629199093686</v>
      </c>
      <c r="AM13" s="874">
        <f>IF(ISNUMBER(((NºAsuntos!I13/NºAsuntos!G13)*11)/factor_trimestre),((NºAsuntos!I13/NºAsuntos!G13)*11)/factor_trimestre," - ")</f>
        <v>6.3938791293779698</v>
      </c>
      <c r="AN13" s="875">
        <f>IF(ISNUMBER('Resol  Asuntos'!D13/NºAsuntos!G13),'Resol  Asuntos'!D13/NºAsuntos!G13," - ")</f>
        <v>0.16871063970831951</v>
      </c>
      <c r="AO13" s="876">
        <f>IF(ISNUMBER((NºAsuntos!C13+NºAsuntos!E13)/NºAsuntos!G13),(NºAsuntos!C13+NºAsuntos!E13)/NºAsuntos!G13," - ")</f>
        <v>1.5915368467572644</v>
      </c>
      <c r="AP13" s="877" t="str">
        <f t="shared" si="2"/>
        <v xml:space="preserve"> - </v>
      </c>
      <c r="AQ13" s="877">
        <f>IF(ISNUMBER((H13-W13+K13)/(F13)),(H13-W13+K13)/(F13)," - ")</f>
        <v>-2.7142857142857144</v>
      </c>
      <c r="AR13" s="878">
        <f>IF(ISNUMBER((Datos!P13-Datos!Q13)/(Datos!R13-Datos!P13+Datos!Q13)),(Datos!P13-Datos!Q13)/(Datos!R13-Datos!P13+Datos!Q13)," - ")</f>
        <v>2.6556776556776556E-2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2260</v>
      </c>
      <c r="G16" s="333">
        <f>IF(ISNUMBER(IF(D_I="SI",Datos!I16,Datos!I16+Datos!AC16)),IF(D_I="SI",Datos!I16,Datos!I16+Datos!AC16)," - ")</f>
        <v>2073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700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8612</v>
      </c>
      <c r="X16" s="226">
        <f>IF(ISNUMBER(Datos!Q16),Datos!Q16," - ")</f>
        <v>592</v>
      </c>
      <c r="Y16" s="334">
        <f t="shared" ref="Y16:Y17" si="7">SUM(W16:X16)</f>
        <v>9204</v>
      </c>
      <c r="Z16" s="335" t="str">
        <f>IF(ISNUMBER(Datos!CC16),Datos!CC16," - ")</f>
        <v xml:space="preserve"> - </v>
      </c>
      <c r="AA16" s="332">
        <f>IF(ISNUMBER(IF(D_I="SI",Datos!L16,Datos!L16+Datos!AF16)),IF(D_I="SI",Datos!L16,Datos!L16+Datos!AF16)," - ")</f>
        <v>2731</v>
      </c>
      <c r="AB16" s="334">
        <f>IF(ISNUMBER(Datos!R16),Datos!R16," - ")</f>
        <v>683</v>
      </c>
      <c r="AC16" s="334">
        <f t="shared" si="6"/>
        <v>3414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1252</v>
      </c>
      <c r="AJ16" s="231" t="str">
        <f>IF(ISNUMBER(Datos!BW16),Datos!BW16," - ")</f>
        <v xml:space="preserve"> - </v>
      </c>
      <c r="AK16" s="232" t="str">
        <f>IF(ISNUMBER(Datos!BX16),Datos!BX16," - ")</f>
        <v xml:space="preserve"> - </v>
      </c>
      <c r="AL16" s="243">
        <f>IF(ISNUMBER(NºAsuntos!G16/NºAsuntos!E16),NºAsuntos!G16/NºAsuntos!E16," - ")</f>
        <v>0.94814488605086422</v>
      </c>
      <c r="AM16" s="260">
        <f>IF(ISNUMBER(((NºAsuntos!I16/NºAsuntos!G16)*11)/factor_trimestre),((NºAsuntos!I16/NºAsuntos!G16)*11)/factor_trimestre," - ")</f>
        <v>3.4882721783557828</v>
      </c>
      <c r="AN16" s="244">
        <f>IF(ISNUMBER('Resol  Asuntos'!D16/NºAsuntos!G16),'Resol  Asuntos'!D16/NºAsuntos!G16," - ")</f>
        <v>0.14537854156990246</v>
      </c>
      <c r="AO16" s="245">
        <f>IF(ISNUMBER((NºAsuntos!C16+NºAsuntos!E16)/NºAsuntos!G16),(NºAsuntos!C16+NºAsuntos!E16)/NºAsuntos!G16," - ")</f>
        <v>1.295401764979099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868</v>
      </c>
      <c r="X17" s="226">
        <f>IF(ISNUMBER(Datos!Q17),Datos!Q17," - ")</f>
        <v>6</v>
      </c>
      <c r="Y17" s="334">
        <f t="shared" si="7"/>
        <v>874</v>
      </c>
      <c r="Z17" s="335" t="str">
        <f>IF(ISNUMBER(Datos!CC17),Datos!CC17," - ")</f>
        <v xml:space="preserve"> - </v>
      </c>
      <c r="AA17" s="332">
        <f>IF(ISNUMBER(Datos!L17),Datos!L17,"-")</f>
        <v>161</v>
      </c>
      <c r="AB17" s="334">
        <f>IF(ISNUMBER(Datos!R17),Datos!R17," - ")</f>
        <v>8</v>
      </c>
      <c r="AC17" s="334">
        <f t="shared" si="6"/>
        <v>169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0.97747747747747749</v>
      </c>
      <c r="AM17" s="260">
        <f>IF(ISNUMBER(((NºAsuntos!I17/NºAsuntos!G17)*11)/factor_trimestre),((NºAsuntos!I17/NºAsuntos!G17)*11)/factor_trimestre," - ")</f>
        <v>2.0403225806451615</v>
      </c>
      <c r="AN17" s="244">
        <f>IF(ISNUMBER('Resol  Asuntos'!D17/NºAsuntos!G17),'Resol  Asuntos'!D17/NºAsuntos!G17," - ")</f>
        <v>4.1474654377880185E-2</v>
      </c>
      <c r="AO17" s="245">
        <f>IF(ISNUMBER((NºAsuntos!C17+NºAsuntos!E17)/NºAsuntos!G17),(NºAsuntos!C17+NºAsuntos!E17)/NºAsuntos!G17," - ")</f>
        <v>1.1797235023041475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2260</v>
      </c>
      <c r="G18" s="866">
        <f>SUBTOTAL(9,G15:G17)</f>
        <v>2209</v>
      </c>
      <c r="H18" s="865">
        <f t="shared" ref="H18:O18" si="10">SUBTOTAL(9,H14:H17)</f>
        <v>0</v>
      </c>
      <c r="I18" s="867">
        <f t="shared" si="10"/>
        <v>0</v>
      </c>
      <c r="J18" s="867">
        <f t="shared" si="10"/>
        <v>0</v>
      </c>
      <c r="K18" s="867">
        <f t="shared" si="10"/>
        <v>0</v>
      </c>
      <c r="L18" s="867">
        <f t="shared" si="10"/>
        <v>710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9480</v>
      </c>
      <c r="X18" s="867">
        <f t="shared" si="11"/>
        <v>598</v>
      </c>
      <c r="Y18" s="868">
        <f t="shared" si="11"/>
        <v>10078</v>
      </c>
      <c r="Z18" s="868">
        <f t="shared" si="11"/>
        <v>0</v>
      </c>
      <c r="AA18" s="868">
        <f t="shared" si="11"/>
        <v>2892</v>
      </c>
      <c r="AB18" s="868">
        <f t="shared" si="11"/>
        <v>691</v>
      </c>
      <c r="AC18" s="868">
        <f t="shared" si="11"/>
        <v>3583</v>
      </c>
      <c r="AD18" s="868">
        <f t="shared" si="11"/>
        <v>0</v>
      </c>
      <c r="AE18" s="872">
        <f t="shared" si="11"/>
        <v>0</v>
      </c>
      <c r="AF18" s="865">
        <f t="shared" si="11"/>
        <v>0</v>
      </c>
      <c r="AG18" s="873">
        <f t="shared" si="11"/>
        <v>0</v>
      </c>
      <c r="AH18" s="870">
        <f t="shared" si="11"/>
        <v>0</v>
      </c>
      <c r="AI18" s="865">
        <f t="shared" si="11"/>
        <v>1288</v>
      </c>
      <c r="AJ18" s="867">
        <f t="shared" si="11"/>
        <v>0</v>
      </c>
      <c r="AK18" s="870">
        <f t="shared" si="11"/>
        <v>0</v>
      </c>
      <c r="AL18" s="874">
        <f>IF(ISNUMBER(NºAsuntos!G18/NºAsuntos!E18),NºAsuntos!G18/NºAsuntos!E18," - ")</f>
        <v>0.95075719586801721</v>
      </c>
      <c r="AM18" s="874">
        <f>IF(ISNUMBER(((NºAsuntos!I18/NºAsuntos!G18)*11)/factor_trimestre),((NºAsuntos!I18/NºAsuntos!G18)*11)/factor_trimestre," - ")</f>
        <v>3.3556962025316457</v>
      </c>
      <c r="AN18" s="875">
        <f>IF(ISNUMBER('Resol  Asuntos'!D18/NºAsuntos!G18),'Resol  Asuntos'!D18/NºAsuntos!G18," - ")</f>
        <v>0.1358649789029536</v>
      </c>
      <c r="AO18" s="876">
        <f>IF(ISNUMBER((NºAsuntos!C18+NºAsuntos!E18)/NºAsuntos!G18),(NºAsuntos!C18+NºAsuntos!E18)/NºAsuntos!G18," - ")</f>
        <v>1.2848101265822784</v>
      </c>
      <c r="AP18" s="877" t="str">
        <f t="shared" si="2"/>
        <v xml:space="preserve"> - </v>
      </c>
      <c r="AQ18" s="877">
        <f>IF(ISNUMBER((H18-W18+K18)/(F18)),(H18-W18+K18)/(F18)," - ")</f>
        <v>-4.1946902654867255</v>
      </c>
      <c r="AR18" s="878">
        <f>IF(ISNUMBER((Datos!P18-Datos!Q18)/(Datos!R18-Datos!P18+Datos!Q18)),(Datos!P18-Datos!Q18)/(Datos!R18-Datos!P18+Datos!Q18)," - ")</f>
        <v>0.19343696027633853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2295</v>
      </c>
      <c r="G19" s="821">
        <f t="shared" si="13"/>
        <v>2244</v>
      </c>
      <c r="H19" s="820">
        <f t="shared" si="13"/>
        <v>0</v>
      </c>
      <c r="I19" s="822">
        <f t="shared" si="13"/>
        <v>0</v>
      </c>
      <c r="J19" s="822">
        <f t="shared" si="13"/>
        <v>0</v>
      </c>
      <c r="K19" s="881">
        <f t="shared" si="13"/>
        <v>0</v>
      </c>
      <c r="L19" s="822">
        <f t="shared" si="13"/>
        <v>2446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9575</v>
      </c>
      <c r="X19" s="821">
        <f t="shared" si="14"/>
        <v>2160</v>
      </c>
      <c r="Y19" s="828">
        <f t="shared" si="14"/>
        <v>11735</v>
      </c>
      <c r="Z19" s="828">
        <f t="shared" si="14"/>
        <v>0</v>
      </c>
      <c r="AA19" s="828">
        <f t="shared" si="14"/>
        <v>2943</v>
      </c>
      <c r="AB19" s="828">
        <f t="shared" si="14"/>
        <v>7417</v>
      </c>
      <c r="AC19" s="828">
        <f t="shared" si="14"/>
        <v>3686</v>
      </c>
      <c r="AD19" s="828">
        <f t="shared" si="14"/>
        <v>0</v>
      </c>
      <c r="AE19" s="830">
        <f t="shared" si="14"/>
        <v>0</v>
      </c>
      <c r="AF19" s="831">
        <f t="shared" si="14"/>
        <v>0</v>
      </c>
      <c r="AG19" s="832">
        <f t="shared" si="14"/>
        <v>0</v>
      </c>
      <c r="AH19" s="830">
        <f t="shared" si="14"/>
        <v>0</v>
      </c>
      <c r="AI19" s="820">
        <f t="shared" si="14"/>
        <v>2815</v>
      </c>
      <c r="AJ19" s="820">
        <f t="shared" si="14"/>
        <v>0</v>
      </c>
      <c r="AK19" s="830">
        <f t="shared" si="14"/>
        <v>0</v>
      </c>
      <c r="AL19" s="884">
        <f>IF(ISNUMBER(NºAsuntos!G19/NºAsuntos!E19),NºAsuntos!G19/NºAsuntos!E19," - ")</f>
        <v>0.92093231289136268</v>
      </c>
      <c r="AM19" s="885">
        <f>IF(ISNUMBER(((NºAsuntos!I19/NºAsuntos!G19)*11)/factor_trimestre),((NºAsuntos!I19/NºAsuntos!G19)*11)/factor_trimestre," - ")</f>
        <v>4.8396200960552589</v>
      </c>
      <c r="AN19" s="885">
        <f>IF(ISNUMBER('Resol  Asuntos'!D19/NºAsuntos!G19),'Resol  Asuntos'!D19/NºAsuntos!G19," - ")</f>
        <v>0.15190761426798338</v>
      </c>
      <c r="AO19" s="886">
        <f>IF(ISNUMBER((NºAsuntos!C19+NºAsuntos!E19)/NºAsuntos!G19),(NºAsuntos!C19+NºAsuntos!E19)/NºAsuntos!G19," - ")</f>
        <v>1.434623064054827</v>
      </c>
      <c r="AP19" s="887" t="str">
        <f t="shared" si="2"/>
        <v xml:space="preserve"> - </v>
      </c>
      <c r="AQ19" s="888">
        <f>IF(OR(ISNUMBER(FIND("01",Criterios!A8,1)),ISNUMBER(FIND("02",Criterios!A8,1)),ISNUMBER(FIND("03",Criterios!A8,1)),ISNUMBER(FIND("04",Criterios!A8,1))),(I19-W19+K19)/(F19-K19),(H19-W19+K19)/(F19-K19))</f>
        <v>-4.1721132897603486</v>
      </c>
      <c r="AR19" s="889">
        <f>IF(ISNUMBER((Datos!P19-Datos!Q19)/(Datos!R19-Datos!P19+Datos!Q19)),(Datos!P19-Datos!Q19)/(Datos!R19-Datos!P19+Datos!Q19)," - ")</f>
        <v>4.0106576917683358E-2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897.6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1284.6043489469173</v>
      </c>
      <c r="G21" s="253">
        <f>IF(ISNUMBER(STDEV(G8:G18)),STDEV(G8:G18),"-")</f>
        <v>1136.8297146010918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4781.8385062651378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710.96910387629828</v>
      </c>
      <c r="AJ21" s="252">
        <f t="shared" si="18"/>
        <v>0</v>
      </c>
      <c r="AK21" s="254">
        <f t="shared" si="18"/>
        <v>0</v>
      </c>
      <c r="AL21" s="249">
        <f t="shared" si="18"/>
        <v>4.6346932292197517E-2</v>
      </c>
      <c r="AM21" s="250">
        <f t="shared" si="18"/>
        <v>1.870532904097276</v>
      </c>
      <c r="AN21" s="250">
        <f t="shared" si="18"/>
        <v>7.7919502689511241E-2</v>
      </c>
      <c r="AO21" s="251">
        <f t="shared" si="18"/>
        <v>0.1810934045984019</v>
      </c>
      <c r="AP21" s="291" t="str">
        <f t="shared" si="18"/>
        <v>-</v>
      </c>
      <c r="AQ21" s="292">
        <f t="shared" si="18"/>
        <v>1.0468040970536623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lBH3Pqo4iE5qS+5dA5rzKd3XaRhkbe1uXI+TsXiuHRA5SBqTucUlFC/fJF0WpXy0T/p2vrZGyhe526JdphCpWw==" saltValue="aX4S/Qq0YkMZWD10/SD2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ALCORCON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0.12121212121212122</v>
      </c>
      <c r="F10" s="348">
        <f>IF(ISNUMBER((Datos!K10-Datos!U10)/Datos!U10),(Datos!K10-Datos!U10)/Datos!U10," - ")</f>
        <v>-0.10377358490566038</v>
      </c>
      <c r="G10" s="349">
        <f>IF(ISNUMBER((Datos!L10-Datos!V10)/Datos!V10),(Datos!L10-Datos!V10)/Datos!V10," - ")</f>
        <v>0.45714285714285713</v>
      </c>
      <c r="H10" s="230">
        <f>IF(ISNUMBER((Datos!M10-Datos!W10)/Datos!W10),(Datos!M10-Datos!W10)/Datos!W10," - ")</f>
        <v>-0.50909090909090904</v>
      </c>
      <c r="I10" s="350">
        <f>IF(ISNUMBER((Tasas!C10-Datos!BE10)/Datos!BE10),(Tasas!C10-Datos!BE10)/Datos!BE10," - ")</f>
        <v>0.62586466165413546</v>
      </c>
      <c r="J10" s="349">
        <f>IF(ISNUMBER((Tasas!D10-Datos!BF10)/Datos!BF10),(Tasas!D10-Datos!BF10)/Datos!BF10," - ")</f>
        <v>-0.45224880382775118</v>
      </c>
      <c r="K10" s="351">
        <f>IF(ISNUMBER((Tasas!E10-Datos!BG10)/Datos!BG10),(Tasas!E10-Datos!BG10)/Datos!BG10," - ")</f>
        <v>0.15535647629712568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0.1609907120743034</v>
      </c>
      <c r="I12" s="350">
        <f>IF(ISNUMBER((Tasas!C12-Datos!BE12)/Datos!BE12),(Tasas!C12-Datos!BE12)/Datos!BE12," - ")</f>
        <v>4.3093034646960189E-2</v>
      </c>
      <c r="J12" s="349">
        <f>IF(ISNUMBER((Tasas!D12-Datos!BF12)/Datos!BF12),(Tasas!D12-Datos!BF12)/Datos!BF12," - ")</f>
        <v>-0.68707639147111577</v>
      </c>
      <c r="K12" s="351">
        <f>IF(ISNUMBER((Tasas!E12-Datos!BG12)/Datos!BG12),(Tasas!E12-Datos!BG12)/Datos!BG12," - ")</f>
        <v>2.7150369266024092E-2</v>
      </c>
      <c r="M12" t="e">
        <f>IF(Monitorios="SI",Datos!CE12,0)</f>
        <v>#REF!</v>
      </c>
      <c r="N12" t="e">
        <f>IF(Monitorios="SI",Datos!CF12,0)</f>
        <v>#REF!</v>
      </c>
      <c r="O12" t="e">
        <f>IF(Monitorios="SI",Datos!CG12,0)</f>
        <v>#REF!</v>
      </c>
      <c r="P12" t="e">
        <f>IF(Monitorios="SI",Datos!CH12,0)</f>
        <v>#REF!</v>
      </c>
      <c r="Q12">
        <f>IF(J_V="SI",0,Datos!AG12)</f>
        <v>210</v>
      </c>
      <c r="R12">
        <f>IF(J_V="SI",0,Datos!AH12)</f>
        <v>669</v>
      </c>
      <c r="S12">
        <f>IF(J_V="SI",0,Datos!AI12)</f>
        <v>741</v>
      </c>
      <c r="T12">
        <f>IF(J_V="SI",0,Datos!AJ12)</f>
        <v>138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0.133630289532294</v>
      </c>
      <c r="I13" s="357">
        <f>IF(ISNUMBER((Tasas!C13-Datos!BE13)/Datos!BE13),(Tasas!C13-Datos!BE13)/Datos!BE13," - ")</f>
        <v>4.8156746622609749E-2</v>
      </c>
      <c r="J13" s="355">
        <f>IF(ISNUMBER((Tasas!D13-Datos!BF13)/Datos!BF13),(Tasas!D13-Datos!BF13)/Datos!BF13," - ")</f>
        <v>-0.68465416247501976</v>
      </c>
      <c r="K13" s="358">
        <f>IF(ISNUMBER((Tasas!E13-Datos!BG13)/Datos!BG13),(Tasas!E13-Datos!BG13)/Datos!BG13," - ")</f>
        <v>2.8792378147381368E-2</v>
      </c>
      <c r="M13" t="e">
        <f>IF(Monitorios="SI",Datos!CE13,0)</f>
        <v>#REF!</v>
      </c>
      <c r="N13" t="e">
        <f>IF(Monitorios="SI",Datos!CF13,0)</f>
        <v>#REF!</v>
      </c>
      <c r="O13" t="e">
        <f>IF(Monitorios="SI",Datos!CG13,0)</f>
        <v>#REF!</v>
      </c>
      <c r="P13" t="e">
        <f>IF(Monitorios="SI",Datos!CH13,0)</f>
        <v>#REF!</v>
      </c>
      <c r="Q13">
        <f>IF(J_V="SI",0,Datos!AG13)</f>
        <v>210</v>
      </c>
      <c r="R13">
        <f>IF(J_V="SI",0,Datos!AH13)</f>
        <v>669</v>
      </c>
      <c r="S13">
        <f>IF(J_V="SI",0,Datos!AI13)</f>
        <v>741</v>
      </c>
      <c r="T13">
        <f>IF(J_V="SI",0,Datos!AJ13)</f>
        <v>138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0.3629191321499014</v>
      </c>
      <c r="E16" s="348">
        <f>IF(ISNUMBER(
   IF(D_I="SI",(Datos!J16-Datos!T16)/Datos!T16,(Datos!J16+Datos!AD16-(Datos!T16+Datos!AL16))/(Datos!T16+Datos!AL16))
     ),IF(D_I="SI",(Datos!J16-Datos!T16)/Datos!T16,(Datos!J16+Datos!AD16-(Datos!T16+Datos!AL16))/(Datos!T16+Datos!AL16))," - ")</f>
        <v>8.1438266460292896E-2</v>
      </c>
      <c r="F16" s="348">
        <f>IF(ISNUMBER(
   IF(D_I="SI",(Datos!K16-Datos!U16)/Datos!U16,(Datos!K16+Datos!AE16-(Datos!U16+Datos!AM16))/(Datos!U16+Datos!AM16))
     ),IF(D_I="SI",(Datos!K16-Datos!U16)/Datos!U16,(Datos!K16+Datos!AE16-(Datos!U16+Datos!AM16))/(Datos!U16+Datos!AM16))," - ")</f>
        <v>4.5399368778829816E-2</v>
      </c>
      <c r="G16" s="349">
        <f>IF(ISNUMBER(
   IF(D_I="SI",(Datos!L16-Datos!V16)/Datos!V16,(Datos!L16+Datos!AF16-(Datos!V16+Datos!AN16))/(Datos!V16+Datos!AN16))
     ),IF(D_I="SI",(Datos!L16-Datos!V16)/Datos!V16,(Datos!L16+Datos!AF16-(Datos!V16+Datos!AN16))/(Datos!V16+Datos!AN16))," - ")</f>
        <v>0.31741437530149541</v>
      </c>
      <c r="H16" s="230">
        <f>IF(ISNUMBER((Datos!M16-Datos!W16)/Datos!W16),(Datos!M16-Datos!W16)/Datos!W16," - ")</f>
        <v>-3.9877300613496931E-2</v>
      </c>
      <c r="I16" s="350">
        <f>IF(ISNUMBER((Tasas!C16-Datos!BE16)/Datos!BE16),(Tasas!C16-Datos!BE16)/Datos!BE16," - ")</f>
        <v>0.26020199996908028</v>
      </c>
      <c r="J16" s="349">
        <f>IF(ISNUMBER((Tasas!D16-Datos!BF16)/Datos!BF16),(Tasas!D16-Datos!BF16)/Datos!BF16," - ")</f>
        <v>-8.1573293364373814E-2</v>
      </c>
      <c r="K16" s="351">
        <f>IF(ISNUMBER((Tasas!E16-Datos!BG16)/Datos!BG16),(Tasas!E16-Datos!BG16)/Datos!BG16," - ")</f>
        <v>7.5758038296150951E-2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0.1623931623931624</v>
      </c>
      <c r="E17" s="348">
        <f>IF(ISNUMBER(
   IF(D_I="SI",(Datos!J17-Datos!T17)/Datos!T17,(Datos!J17+Datos!AD17-(Datos!T17+Datos!AL17))/(Datos!T17+Datos!AL17))
     ),IF(D_I="SI",(Datos!J17-Datos!T17)/Datos!T17,(Datos!J17+Datos!AD17-(Datos!T17+Datos!AL17))/(Datos!T17+Datos!AL17))," - ")</f>
        <v>2.7777777777777776E-2</v>
      </c>
      <c r="F17" s="348">
        <f>IF(ISNUMBER(
   IF(D_I="SI",(Datos!K17-Datos!U17)/Datos!U17,(Datos!K17+Datos!AE17-(Datos!U17+Datos!AM17))/(Datos!U17+Datos!AM17))
     ),IF(D_I="SI",(Datos!K17-Datos!U17)/Datos!U17,(Datos!K17+Datos!AE17-(Datos!U17+Datos!AM17))/(Datos!U17+Datos!AM17))," - ")</f>
        <v>1.2835472578763127E-2</v>
      </c>
      <c r="G17" s="349">
        <f>IF(ISNUMBER(
   IF(D_I="SI",(Datos!L17-Datos!V17)/Datos!V17,(Datos!L17+Datos!AF17-(Datos!V17+Datos!AN17))/(Datos!V17+Datos!AN17))
     ),IF(D_I="SI",(Datos!L17-Datos!V17)/Datos!V17,(Datos!L17+Datos!AF17-(Datos!V17+Datos!AN17))/(Datos!V17+Datos!AN17))," - ")</f>
        <v>0.18382352941176472</v>
      </c>
      <c r="H17" s="230">
        <f>IF(ISNUMBER((Datos!M17-Datos!W17)/Datos!W17),(Datos!M17-Datos!W17)/Datos!W17," - ")</f>
        <v>-0.14285714285714285</v>
      </c>
      <c r="I17" s="350">
        <f>IF(ISNUMBER((Tasas!C17-Datos!BE17)/Datos!BE17),(Tasas!C17-Datos!BE17)/Datos!BE17," - ")</f>
        <v>0.16882115749525611</v>
      </c>
      <c r="J17" s="349">
        <f>IF(ISNUMBER((Tasas!D17-Datos!BF17)/Datos!BF17),(Tasas!D17-Datos!BF17)/Datos!BF17," - ")</f>
        <v>-0.1537195523370638</v>
      </c>
      <c r="K17" s="351">
        <f>IF(ISNUMBER((Tasas!E17-Datos!BG17)/Datos!BG17),(Tasas!E17-Datos!BG17)/Datos!BG17," - ")</f>
        <v>3.0604527497099174E-2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0.34859584859584858</v>
      </c>
      <c r="E18" s="354">
        <f>IF(ISNUMBER(
   IF(D_I="SI",(Datos!J18-Datos!T18)/Datos!T18,(Datos!J18+Datos!AD18-(Datos!T18+Datos!AL18))/(Datos!T18+Datos!AL18))
     ),IF(D_I="SI",(Datos!J18-Datos!T18)/Datos!T18,(Datos!J18+Datos!AD18-(Datos!T18+Datos!AL18))/(Datos!T18+Datos!AL18))," - ")</f>
        <v>7.6433121019108277E-2</v>
      </c>
      <c r="F18" s="354">
        <f>IF(ISNUMBER(
   IF(D_I="SI",(Datos!K18-Datos!U18)/Datos!U18,(Datos!K18+Datos!AE18-(Datos!U18+Datos!AM18))/(Datos!U18+Datos!AM18))
     ),IF(D_I="SI",(Datos!K18-Datos!U18)/Datos!U18,(Datos!K18+Datos!AE18-(Datos!U18+Datos!AM18))/(Datos!U18+Datos!AM18))," - ")</f>
        <v>4.2330951072017592E-2</v>
      </c>
      <c r="G18" s="355">
        <f>IF(ISNUMBER(
   IF(D_I="SI",(Datos!L18-Datos!V18)/Datos!V18,(Datos!L18+Datos!AF18-(Datos!V18+Datos!AN18))/(Datos!V18+Datos!AN18))
     ),IF(D_I="SI",(Datos!L18-Datos!V18)/Datos!V18,(Datos!L18+Datos!AF18-(Datos!V18+Datos!AN18))/(Datos!V18+Datos!AN18))," - ")</f>
        <v>0.30918967858759622</v>
      </c>
      <c r="H18" s="356">
        <f>IF(ISNUMBER((Datos!M18-Datos!W18)/Datos!W18),(Datos!M18-Datos!W18)/Datos!W18," - ")</f>
        <v>-4.3090638930163447E-2</v>
      </c>
      <c r="I18" s="357">
        <f>IF(ISNUMBER((Tasas!C18-Datos!BE18)/Datos!BE18),(Tasas!C18-Datos!BE18)/Datos!BE18," - ")</f>
        <v>0.25602111041710846</v>
      </c>
      <c r="J18" s="355">
        <f>IF(ISNUMBER((Tasas!D18-Datos!BF18)/Datos!BF18),(Tasas!D18-Datos!BF18)/Datos!BF18," - ")</f>
        <v>-8.1952464247872905E-2</v>
      </c>
      <c r="K18" s="358">
        <f>IF(ISNUMBER((Tasas!E18-Datos!BG18)/Datos!BG18),(Tasas!E18-Datos!BG18)/Datos!BG18," - ")</f>
        <v>7.1951940305093401E-2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0.3433797547287466</v>
      </c>
      <c r="E19" s="363">
        <f>IF(ISNUMBER(
   IF(J_V="SI",(Datos!J19-Datos!T19)/Datos!T19,(Datos!J19+Datos!Z19-(Datos!T19+Datos!AH19))/(Datos!T19+Datos!AH19))
     ),IF(J_V="SI",(Datos!J19-Datos!T19)/Datos!T19,(Datos!J19+Datos!Z19-(Datos!T19+Datos!AH19))/(Datos!T19+Datos!AH19))," - ")</f>
        <v>0.12056579606838559</v>
      </c>
      <c r="F19" s="363">
        <f>IF(ISNUMBER(
   IF(J_V="SI",(Datos!K19-Datos!U19)/Datos!U19,(Datos!K19+Datos!AA19-(Datos!U19+Datos!AI19))/(Datos!U19+Datos!AI19))
     ),IF(J_V="SI",(Datos!K19-Datos!U19)/Datos!U19,(Datos!K19+Datos!AA19-(Datos!U19+Datos!AI19))/(Datos!U19+Datos!AI19))," - ")</f>
        <v>0.10527257545031611</v>
      </c>
      <c r="G19" s="364">
        <f>IF(ISNUMBER(
   IF(J_V="SI",(Datos!L19-Datos!V19)/Datos!V19,(Datos!L19+Datos!AB19-(Datos!V19+Datos!AJ19))/(Datos!V19+Datos!AJ19))
     ),IF(J_V="SI",(Datos!L19-Datos!V19)/Datos!V19,(Datos!L19+Datos!AB19-(Datos!V19+Datos!AJ19))/(Datos!V19+Datos!AJ19))," - ")</f>
        <v>0.26148847284542781</v>
      </c>
      <c r="H19" s="365">
        <f>IF(ISNUMBER((Datos!M19-Datos!W19)/Datos!W19),(Datos!M19-Datos!W19)/Datos!W19," - ")</f>
        <v>4.5302636464909021E-2</v>
      </c>
      <c r="I19" s="362">
        <f>IF(ISNUMBER((Tasas!C19-Datos!BE19)/Datos!BE19),(Tasas!C19-Datos!BE19)/Datos!BE19," - ")</f>
        <v>0.14133698859891228</v>
      </c>
      <c r="J19" s="363">
        <f>IF(ISNUMBER((Tasas!D19-Datos!BF19)/Datos!BF19),(Tasas!D19-Datos!BF19)/Datos!BF19," - ")</f>
        <v>-0.53268200718953962</v>
      </c>
      <c r="K19" s="364">
        <f>IF(ISNUMBER((Tasas!E19-Datos!BG19)/Datos!BG19),(Tasas!E19-Datos!BG19)/Datos!BG19," - ")</f>
        <v>5.6434043040373714E-2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0.2465299526074311</v>
      </c>
      <c r="E21" s="278">
        <f t="shared" si="1"/>
        <v>3.8285045889983466E-2</v>
      </c>
      <c r="F21" s="278">
        <f t="shared" si="1"/>
        <v>7.020006149457865E-2</v>
      </c>
      <c r="G21" s="279">
        <f t="shared" si="1"/>
        <v>0.11170962271831483</v>
      </c>
      <c r="H21" s="285">
        <f t="shared" si="1"/>
        <v>0.24269068237311062</v>
      </c>
      <c r="I21" s="277">
        <f t="shared" si="1"/>
        <v>0.21445758921451125</v>
      </c>
      <c r="J21" s="278">
        <f t="shared" si="1"/>
        <v>0.28921060384705904</v>
      </c>
      <c r="K21" s="279">
        <f t="shared" si="1"/>
        <v>4.9507510054526083E-2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vn1O8jltCsPbFvPqdLHBcT3epcRGJP7//ucliMlZCvCJeieD4F4G1yRn/W6FAIxW6H/5dI46BV+zoZ4o7AS5w==" saltValue="sdFggv3RDls8D1rQJYjn1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